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0" windowWidth="20640" windowHeight="11040" tabRatio="756" firstSheet="45" activeTab="51"/>
  </bookViews>
  <sheets>
    <sheet name="ANEXA 1" sheetId="1" r:id="rId1"/>
    <sheet name="ANEXA 2" sheetId="2" r:id="rId2"/>
    <sheet name="ANEXA 3" sheetId="3" r:id="rId3"/>
    <sheet name="COD 04 (2)" sheetId="4" r:id="rId4"/>
    <sheet name="ANEXA 14a" sheetId="5" r:id="rId5"/>
    <sheet name="ANEXA 32" sheetId="6" r:id="rId6"/>
    <sheet name="Anexa 19" sheetId="7" state="hidden" r:id="rId7"/>
    <sheet name="Anexa 20a" sheetId="64" state="hidden" r:id="rId8"/>
    <sheet name="Anexa 20b" sheetId="63" state="hidden" r:id="rId9"/>
    <sheet name="ANEXA 40c" sheetId="8" r:id="rId10"/>
    <sheet name="ANEXA 5 " sheetId="9" r:id="rId11"/>
    <sheet name="ANEXA 5  (2)" sheetId="55" state="hidden" r:id="rId12"/>
    <sheet name="ANEXA 6" sheetId="10" r:id="rId13"/>
    <sheet name="ANEXA 6 (2)" sheetId="56" state="hidden" r:id="rId14"/>
    <sheet name="ANEXA 7 CAPITOL 6605" sheetId="11" r:id="rId15"/>
    <sheet name="ANEXA 7 CAPITOL 6805 " sheetId="12" r:id="rId16"/>
    <sheet name="ANEXA 34" sheetId="14" state="hidden" r:id="rId17"/>
    <sheet name="ANEXA 35 a1" sheetId="15" state="hidden" r:id="rId18"/>
    <sheet name="ANEXA 35 a2" sheetId="16" state="hidden" r:id="rId19"/>
    <sheet name="ANEXA 35 b1" sheetId="17" state="hidden" r:id="rId20"/>
    <sheet name="ANEXA 35 b2" sheetId="18" state="hidden" r:id="rId21"/>
    <sheet name="ANEXA 25" sheetId="19" state="hidden" r:id="rId22"/>
    <sheet name="ANEXA 26(1.1)" sheetId="20" state="hidden" r:id="rId23"/>
    <sheet name="ANEXA 26(1.2)" sheetId="21" state="hidden" r:id="rId24"/>
    <sheet name="ANEXA 26 (2.1)" sheetId="22" state="hidden" r:id="rId25"/>
    <sheet name="ANEXA 26 (2.2)" sheetId="23" state="hidden" r:id="rId26"/>
    <sheet name="26,3,1" sheetId="70" state="hidden" r:id="rId27"/>
    <sheet name="ANEXA 26(3.1)" sheetId="60" state="hidden" r:id="rId28"/>
    <sheet name="ANEXA 27" sheetId="25" state="hidden" r:id="rId29"/>
    <sheet name="ANEXA 7 CAPITOL 6608" sheetId="24" state="hidden" r:id="rId30"/>
    <sheet name="ANEXA 30" sheetId="27" r:id="rId31"/>
    <sheet name="ANEXA 30 (2)" sheetId="28" state="hidden" r:id="rId32"/>
    <sheet name="NOTA 1" sheetId="30" r:id="rId33"/>
    <sheet name="SOLDURI BILANT" sheetId="58" r:id="rId34"/>
    <sheet name="ANEXA 2 SOLDURI" sheetId="32" r:id="rId35"/>
    <sheet name="VENITURI " sheetId="33" r:id="rId36"/>
    <sheet name="VENITURI (2)" sheetId="72" state="hidden" r:id="rId37"/>
    <sheet name="PROVIZIOANE" sheetId="34" r:id="rId38"/>
    <sheet name="DISPONIBILITATI" sheetId="35" r:id="rId39"/>
    <sheet name="COD 04" sheetId="36" r:id="rId40"/>
    <sheet name="PLATI" sheetId="37" r:id="rId41"/>
    <sheet name="ANGAJ BUGETAR" sheetId="82" r:id="rId42"/>
    <sheet name="ANGAJAM LEGAL " sheetId="83" r:id="rId43"/>
    <sheet name="CONT EXECUTIE  " sheetId="40" r:id="rId44"/>
    <sheet name="CONT EXECUTIE   (2)" sheetId="69" state="hidden" r:id="rId45"/>
    <sheet name="CREDITE BUG" sheetId="41" r:id="rId46"/>
    <sheet name="CREDITE BUG (2)" sheetId="73" state="hidden" r:id="rId47"/>
    <sheet name="TAXA EVALUARE" sheetId="42" r:id="rId48"/>
    <sheet name="CONT 8082" sheetId="43" state="hidden" r:id="rId49"/>
    <sheet name="CONT 8082 (2)" sheetId="62" state="hidden" r:id="rId50"/>
    <sheet name="CONT IN AFARA BIL" sheetId="77" r:id="rId51"/>
    <sheet name="ACCIDENTE MUNCA 1 " sheetId="52" r:id="rId52"/>
    <sheet name="ACCIDENTE DE MUNCA 2" sheetId="53" r:id="rId53"/>
    <sheet name="PREJUDICII SI DAUNE" sheetId="54" r:id="rId54"/>
    <sheet name="PREJUDICII SI DAUNE 2" sheetId="66" r:id="rId55"/>
    <sheet name="CONT 473" sheetId="67" r:id="rId56"/>
    <sheet name="CONCEDII MEDICALE" sheetId="84" r:id="rId57"/>
    <sheet name="PRESTATII UE" sheetId="76" r:id="rId58"/>
    <sheet name="Bugetul de stat" sheetId="45" r:id="rId59"/>
    <sheet name="Programe" sheetId="46" r:id="rId60"/>
    <sheet name="F104 sint fin prog" sheetId="48" r:id="rId61"/>
    <sheet name="105 fisa prog cu scop CURATIV" sheetId="49" r:id="rId62"/>
    <sheet name="F105 SERVICII MEDICALE" sheetId="50" r:id="rId63"/>
    <sheet name="F105 CV-CVR" sheetId="51" r:id="rId64"/>
    <sheet name="F TRANSFERURI" sheetId="78" r:id="rId65"/>
    <sheet name="F MANAG SI ADM" sheetId="79" r:id="rId66"/>
    <sheet name="F CONCEDII SI INDEMNIZATII" sheetId="80" r:id="rId67"/>
    <sheet name="CONT EXECUTIE COVID 19" sheetId="75" r:id="rId68"/>
  </sheets>
  <definedNames>
    <definedName name="__xlfn_BAHTTEXT">#N/A</definedName>
    <definedName name="_xlnm._FilterDatabase" localSheetId="33" hidden="1">'SOLDURI BILANT'!#REF!</definedName>
    <definedName name="_xlnm.Database">#REF!</definedName>
    <definedName name="Excel_BuiltIn_Database" localSheetId="55">#REF!</definedName>
    <definedName name="Excel_BuiltIn_Database">#REF!</definedName>
    <definedName name="_xlnm.Print_Area" localSheetId="61">'105 fisa prog cu scop CURATIV'!$A$1:$D$28</definedName>
    <definedName name="_xlnm.Print_Area" localSheetId="26">'26,3,1'!$A$1:$F$92</definedName>
    <definedName name="_xlnm.Print_Area" localSheetId="52">'ACCIDENTE DE MUNCA 2'!$A$1:$G$28</definedName>
    <definedName name="_xlnm.Print_Area" localSheetId="51">'ACCIDENTE MUNCA 1 '!$A$1:$G$34</definedName>
    <definedName name="_xlnm.Print_Area" localSheetId="0">'ANEXA 1'!$A$1:$E$111</definedName>
    <definedName name="_xlnm.Print_Area" localSheetId="4">'ANEXA 14a'!$A$1:$F$51</definedName>
    <definedName name="_xlnm.Print_Area" localSheetId="6">'Anexa 19'!$A$1:$Q$77</definedName>
    <definedName name="_xlnm.Print_Area" localSheetId="1">'ANEXA 2'!$A$1:$E$63</definedName>
    <definedName name="_xlnm.Print_Area" localSheetId="34">'ANEXA 2 SOLDURI'!$A$1:$B$107</definedName>
    <definedName name="_xlnm.Print_Area" localSheetId="8">'Anexa 20b'!$B$1:$T$89</definedName>
    <definedName name="_xlnm.Print_Area" localSheetId="21">'ANEXA 25'!$A$1:$G$72</definedName>
    <definedName name="_xlnm.Print_Area" localSheetId="24">'ANEXA 26 (2.1)'!$A$1:$E$78</definedName>
    <definedName name="_xlnm.Print_Area" localSheetId="25">'ANEXA 26 (2.2)'!$A$1:$F$49</definedName>
    <definedName name="_xlnm.Print_Area" localSheetId="22">'ANEXA 26(1.1)'!$A$1:$F$71</definedName>
    <definedName name="_xlnm.Print_Area" localSheetId="23">'ANEXA 26(1.2)'!$A$1:$C$61</definedName>
    <definedName name="_xlnm.Print_Area" localSheetId="27">'ANEXA 26(3.1)'!$A$1:$F$87</definedName>
    <definedName name="_xlnm.Print_Area" localSheetId="2">'ANEXA 3'!$A$1:$Q$43</definedName>
    <definedName name="_xlnm.Print_Area" localSheetId="30">'ANEXA 30'!$A$1:$E$118</definedName>
    <definedName name="_xlnm.Print_Area" localSheetId="31">'ANEXA 30 (2)'!$A$1:$E$119</definedName>
    <definedName name="_xlnm.Print_Area" localSheetId="5">'ANEXA 32'!$A$1:$E$35</definedName>
    <definedName name="_xlnm.Print_Area" localSheetId="16">'ANEXA 34'!$A$1:$F$43</definedName>
    <definedName name="_xlnm.Print_Area" localSheetId="17">'ANEXA 35 a1'!$A$1:$K$54</definedName>
    <definedName name="_xlnm.Print_Area" localSheetId="18">'ANEXA 35 a2'!$A$1:$Q$48</definedName>
    <definedName name="_xlnm.Print_Area" localSheetId="19">'ANEXA 35 b1'!$A$1:$L$44</definedName>
    <definedName name="_xlnm.Print_Area" localSheetId="20">'ANEXA 35 b2'!$A$1:$P$44</definedName>
    <definedName name="_xlnm.Print_Area" localSheetId="9">'ANEXA 40c'!$A$1:$E$312</definedName>
    <definedName name="_xlnm.Print_Area" localSheetId="10">'ANEXA 5 '!$A$1:$J$121</definedName>
    <definedName name="_xlnm.Print_Area" localSheetId="11">'ANEXA 5  (2)'!$A$1:$J$40</definedName>
    <definedName name="_xlnm.Print_Area" localSheetId="12">'ANEXA 6'!$B$1:$L$54</definedName>
    <definedName name="_xlnm.Print_Area" localSheetId="13">'ANEXA 6 (2)'!$B$1:$L$31</definedName>
    <definedName name="_xlnm.Print_Area" localSheetId="14">'ANEXA 7 CAPITOL 6605'!$A$1:$K$114</definedName>
    <definedName name="_xlnm.Print_Area" localSheetId="29">'ANEXA 7 CAPITOL 6608'!$A$1:$K$27</definedName>
    <definedName name="_xlnm.Print_Area" localSheetId="15">'ANEXA 7 CAPITOL 6805 '!$A$1:$K$96</definedName>
    <definedName name="_xlnm.Print_Area" localSheetId="41">'ANGAJ BUGETAR'!$A$1:$E$296</definedName>
    <definedName name="_xlnm.Print_Area" localSheetId="42">'ANGAJAM LEGAL '!$A$1:$G$291</definedName>
    <definedName name="_xlnm.Print_Area" localSheetId="58">'Bugetul de stat'!$A$1:$E$63</definedName>
    <definedName name="_xlnm.Print_Area" localSheetId="39">'COD 04'!$A$1:$F$42</definedName>
    <definedName name="_xlnm.Print_Area" localSheetId="3">'COD 04 (2)'!$A$1:$E$41</definedName>
    <definedName name="_xlnm.Print_Area" localSheetId="56">'CONCEDII MEDICALE'!$A$1:$G$27</definedName>
    <definedName name="_xlnm.Print_Area" localSheetId="55">'CONT 473'!$A$1:$F$28</definedName>
    <definedName name="_xlnm.Print_Area" localSheetId="48">'CONT 8082'!$A$1:$C$92</definedName>
    <definedName name="_xlnm.Print_Area" localSheetId="49">'CONT 8082 (2)'!$A$1:$C$93</definedName>
    <definedName name="_xlnm.Print_Area" localSheetId="43">'CONT EXECUTIE  '!$A$1:$M$320</definedName>
    <definedName name="_xlnm.Print_Area" localSheetId="44">'CONT EXECUTIE   (2)'!$A$1:$M$36</definedName>
    <definedName name="_xlnm.Print_Area" localSheetId="67">'CONT EXECUTIE COVID 19'!$A$1:$E$220</definedName>
    <definedName name="_xlnm.Print_Area" localSheetId="45">'CREDITE BUG'!$A$1:$D$37</definedName>
    <definedName name="_xlnm.Print_Area" localSheetId="38">DISPONIBILITATI!$A$1:$H$36</definedName>
    <definedName name="_xlnm.Print_Area" localSheetId="66">'F CONCEDII SI INDEMNIZATII'!$A$1:$E$29</definedName>
    <definedName name="_xlnm.Print_Area" localSheetId="65">'F MANAG SI ADM'!$A$1:$D$44</definedName>
    <definedName name="_xlnm.Print_Area" localSheetId="64">'F TRANSFERURI'!$A$1:$E$31</definedName>
    <definedName name="_xlnm.Print_Area" localSheetId="60">'F104 sint fin prog'!$A$1:$D$66</definedName>
    <definedName name="_xlnm.Print_Area" localSheetId="63">'F105 CV-CVR'!$A$1:$E$25</definedName>
    <definedName name="_xlnm.Print_Area" localSheetId="62">'F105 SERVICII MEDICALE'!$A$1:$D$29</definedName>
    <definedName name="_xlnm.Print_Area" localSheetId="32">'NOTA 1'!$A$1:$I$35</definedName>
    <definedName name="_xlnm.Print_Area" localSheetId="40">PLATI!$A$1:$E$290</definedName>
    <definedName name="_xlnm.Print_Area" localSheetId="53">'PREJUDICII SI DAUNE'!$A$1:$G$38</definedName>
    <definedName name="_xlnm.Print_Area" localSheetId="54">'PREJUDICII SI DAUNE 2'!$A$1:$G$28</definedName>
    <definedName name="_xlnm.Print_Area" localSheetId="57">'PRESTATII UE'!$A$1:$I$34</definedName>
    <definedName name="_xlnm.Print_Area" localSheetId="59">Programe!$A$1:$J$119</definedName>
    <definedName name="_xlnm.Print_Area" localSheetId="37">PROVIZIOANE!$A$1:$G$28</definedName>
    <definedName name="_xlnm.Print_Area" localSheetId="33">'SOLDURI BILANT'!$A$1:$F$176</definedName>
    <definedName name="_xlnm.Print_Area" localSheetId="35">'VENITURI '!$A$1:$E$116</definedName>
    <definedName name="_xlnm.Print_Area" localSheetId="36">'VENITURI (2)'!$A$1:$E$42</definedName>
    <definedName name="_xlnm.Print_Titles" localSheetId="0">'ANEXA 1'!$14:$16</definedName>
    <definedName name="_xlnm.Print_Titles" localSheetId="4">'ANEXA 14a'!$6:$9</definedName>
    <definedName name="_xlnm.Print_Titles" localSheetId="6">'Anexa 19'!$A:$A,'Anexa 19'!$4:$7</definedName>
    <definedName name="_xlnm.Print_Titles" localSheetId="1">'ANEXA 2'!$5:$8</definedName>
    <definedName name="_xlnm.Print_Titles" localSheetId="34">'ANEXA 2 SOLDURI'!$6:$7</definedName>
    <definedName name="_xlnm.Print_Titles" localSheetId="7">'Anexa 20a'!$6:$8</definedName>
    <definedName name="_xlnm.Print_Titles" localSheetId="8">'Anexa 20b'!$5:$8</definedName>
    <definedName name="_xlnm.Print_Titles" localSheetId="24">'ANEXA 26 (2.1)'!$7:$8</definedName>
    <definedName name="_xlnm.Print_Titles" localSheetId="25">'ANEXA 26 (2.2)'!$8:$10</definedName>
    <definedName name="_xlnm.Print_Titles" localSheetId="23">'ANEXA 26(1.2)'!$6:$8</definedName>
    <definedName name="_xlnm.Print_Titles" localSheetId="28">'ANEXA 27'!$7:$8</definedName>
    <definedName name="_xlnm.Print_Titles" localSheetId="2">'ANEXA 3'!$A:$B,'ANEXA 3'!$7:$9</definedName>
    <definedName name="_xlnm.Print_Titles" localSheetId="30">'ANEXA 30'!$7:$10</definedName>
    <definedName name="_xlnm.Print_Titles" localSheetId="31">'ANEXA 30 (2)'!$7:$10</definedName>
    <definedName name="_xlnm.Print_Titles" localSheetId="16">'ANEXA 34'!$4:$7</definedName>
    <definedName name="_xlnm.Print_Titles" localSheetId="9">'ANEXA 40c'!$8:$9</definedName>
    <definedName name="_xlnm.Print_Titles" localSheetId="10">'ANEXA 5 '!$6:$9</definedName>
    <definedName name="_xlnm.Print_Titles" localSheetId="11">'ANEXA 5  (2)'!$6:$9</definedName>
    <definedName name="_xlnm.Print_Titles" localSheetId="12">'ANEXA 6'!$4:$7</definedName>
    <definedName name="_xlnm.Print_Titles" localSheetId="13">'ANEXA 6 (2)'!$4:$7</definedName>
    <definedName name="_xlnm.Print_Titles" localSheetId="14">'ANEXA 7 CAPITOL 6605'!$4:$7</definedName>
    <definedName name="_xlnm.Print_Titles" localSheetId="15">'ANEXA 7 CAPITOL 6805 '!$4:$7</definedName>
    <definedName name="_xlnm.Print_Titles" localSheetId="41">'ANGAJ BUGETAR'!$6:$8</definedName>
    <definedName name="_xlnm.Print_Titles" localSheetId="42">'ANGAJAM LEGAL '!$6:$8</definedName>
    <definedName name="_xlnm.Print_Titles" localSheetId="48">'CONT 8082'!$7:$7</definedName>
    <definedName name="_xlnm.Print_Titles" localSheetId="49">'CONT 8082 (2)'!$7:$7</definedName>
    <definedName name="_xlnm.Print_Titles" localSheetId="43">'CONT EXECUTIE  '!$4:$7</definedName>
    <definedName name="_xlnm.Print_Titles" localSheetId="44">'CONT EXECUTIE   (2)'!$4:$7</definedName>
    <definedName name="_xlnm.Print_Titles" localSheetId="67">'CONT EXECUTIE COVID 19'!$1:$7</definedName>
    <definedName name="_xlnm.Print_Titles" localSheetId="38">DISPONIBILITATI!$A:$B</definedName>
    <definedName name="_xlnm.Print_Titles" localSheetId="40">PLATI!$5:$8</definedName>
    <definedName name="_xlnm.Print_Titles" localSheetId="59">Programe!$1:$8</definedName>
    <definedName name="_xlnm.Print_Titles" localSheetId="33">'SOLDURI BILANT'!$5:$6</definedName>
    <definedName name="_xlnm.Print_Titles" localSheetId="35">'VENITURI '!$6:$8</definedName>
  </definedNames>
  <calcPr calcId="145621"/>
</workbook>
</file>

<file path=xl/calcChain.xml><?xml version="1.0" encoding="utf-8"?>
<calcChain xmlns="http://schemas.openxmlformats.org/spreadsheetml/2006/main">
  <c r="C55" i="83" l="1"/>
  <c r="C56" i="83"/>
  <c r="C57" i="83"/>
  <c r="C58" i="83"/>
  <c r="C59" i="83"/>
  <c r="C61" i="83"/>
  <c r="C62" i="83"/>
  <c r="C69" i="83"/>
  <c r="C70" i="83"/>
  <c r="C71" i="83"/>
  <c r="C73" i="83"/>
  <c r="C74" i="83"/>
  <c r="C75" i="83"/>
  <c r="C76" i="83"/>
  <c r="J48" i="83" l="1"/>
  <c r="H48" i="82"/>
  <c r="A1" i="37"/>
  <c r="F26" i="84" l="1"/>
  <c r="F24" i="84"/>
  <c r="A26" i="84"/>
  <c r="A24" i="84"/>
  <c r="F21" i="84"/>
  <c r="F19" i="84"/>
  <c r="A22" i="84"/>
  <c r="A21" i="84"/>
  <c r="A19" i="84"/>
  <c r="A4" i="84" l="1"/>
  <c r="G16" i="84"/>
  <c r="J16" i="84" s="1"/>
  <c r="G15" i="84"/>
  <c r="J15" i="84" s="1"/>
  <c r="G14" i="84"/>
  <c r="J14" i="84" s="1"/>
  <c r="G13" i="84"/>
  <c r="J13" i="84" s="1"/>
  <c r="G12" i="84"/>
  <c r="J12" i="84" s="1"/>
  <c r="G11" i="84"/>
  <c r="J11" i="84" s="1"/>
  <c r="G10" i="84"/>
  <c r="J10" i="84" s="1"/>
  <c r="G9" i="84"/>
  <c r="J9" i="84" s="1"/>
  <c r="G8" i="84"/>
  <c r="J8" i="84" s="1"/>
  <c r="D7" i="84"/>
  <c r="D17" i="84" s="1"/>
  <c r="F7" i="84"/>
  <c r="E7" i="84"/>
  <c r="E17" i="84" s="1"/>
  <c r="C7" i="84"/>
  <c r="C17" i="84" s="1"/>
  <c r="F17" i="84" l="1"/>
  <c r="J7" i="84"/>
  <c r="G7" i="84"/>
  <c r="A1" i="84"/>
  <c r="G17" i="84" l="1"/>
  <c r="H76" i="46"/>
  <c r="H75" i="46"/>
  <c r="D74" i="46"/>
  <c r="G74" i="46"/>
  <c r="I74" i="46"/>
  <c r="J74" i="46"/>
  <c r="E75" i="46"/>
  <c r="F75" i="46"/>
  <c r="E76" i="46"/>
  <c r="F76" i="46"/>
  <c r="B75" i="46"/>
  <c r="C75" i="46"/>
  <c r="B76" i="46"/>
  <c r="C76" i="46"/>
  <c r="H74" i="46" l="1"/>
  <c r="C74" i="46"/>
  <c r="F74" i="46"/>
  <c r="B74" i="46"/>
  <c r="E74" i="46"/>
  <c r="C250" i="40" l="1"/>
  <c r="D250" i="40"/>
  <c r="C180" i="83"/>
  <c r="M201" i="40"/>
  <c r="F201" i="40"/>
  <c r="I203" i="40"/>
  <c r="I202" i="40"/>
  <c r="F180" i="83"/>
  <c r="G180" i="83" s="1"/>
  <c r="J203" i="40" s="1"/>
  <c r="H203" i="40" s="1"/>
  <c r="F179" i="83"/>
  <c r="G179" i="83" s="1"/>
  <c r="J202" i="40" s="1"/>
  <c r="E178" i="83"/>
  <c r="D178" i="83"/>
  <c r="C179" i="83"/>
  <c r="D180" i="82"/>
  <c r="E180" i="82" s="1"/>
  <c r="G203" i="40" s="1"/>
  <c r="D179" i="82"/>
  <c r="E179" i="82" s="1"/>
  <c r="G202" i="40" s="1"/>
  <c r="C178" i="82"/>
  <c r="J201" i="40" l="1"/>
  <c r="G201" i="40"/>
  <c r="I201" i="40"/>
  <c r="C178" i="83"/>
  <c r="H202" i="40"/>
  <c r="H201" i="40" l="1"/>
  <c r="D178" i="37"/>
  <c r="C178" i="37"/>
  <c r="E179" i="37"/>
  <c r="K202" i="40" s="1"/>
  <c r="K201" i="40" s="1"/>
  <c r="E180" i="37"/>
  <c r="K203" i="40" s="1"/>
  <c r="L203" i="40" s="1"/>
  <c r="E201" i="40"/>
  <c r="D201" i="40"/>
  <c r="C201" i="40"/>
  <c r="L202" i="40" l="1"/>
  <c r="L201" i="40" s="1"/>
  <c r="D102" i="33"/>
  <c r="C102" i="33"/>
  <c r="C105" i="33"/>
  <c r="D61" i="1" l="1"/>
  <c r="J231" i="40" l="1"/>
  <c r="I231" i="40"/>
  <c r="J249" i="40"/>
  <c r="I249" i="40"/>
  <c r="C131" i="82" l="1"/>
  <c r="A102" i="32" l="1"/>
  <c r="A98" i="32"/>
  <c r="A97" i="32" l="1"/>
  <c r="A95" i="32"/>
  <c r="K73" i="11" l="1"/>
  <c r="K72" i="11"/>
  <c r="K71" i="11"/>
  <c r="H78" i="11"/>
  <c r="H77" i="11" s="1"/>
  <c r="G69" i="11"/>
  <c r="G68" i="11"/>
  <c r="G67" i="11"/>
  <c r="G78" i="11"/>
  <c r="G77" i="11" s="1"/>
  <c r="D71" i="11"/>
  <c r="E71" i="11"/>
  <c r="F71" i="11"/>
  <c r="D72" i="11"/>
  <c r="E72" i="11"/>
  <c r="F72" i="11"/>
  <c r="D73" i="11"/>
  <c r="E73" i="11"/>
  <c r="F73" i="11"/>
  <c r="C72" i="11"/>
  <c r="C73" i="11"/>
  <c r="C71" i="11"/>
  <c r="J129" i="40"/>
  <c r="J128" i="40"/>
  <c r="J127" i="40"/>
  <c r="J126" i="40"/>
  <c r="J125" i="40"/>
  <c r="J121" i="40"/>
  <c r="J120" i="40"/>
  <c r="J118" i="40"/>
  <c r="J117" i="40"/>
  <c r="J116" i="40"/>
  <c r="J110" i="40"/>
  <c r="J109" i="40"/>
  <c r="J108" i="40"/>
  <c r="J105" i="40"/>
  <c r="J104" i="40"/>
  <c r="J102" i="40"/>
  <c r="J101" i="40"/>
  <c r="J100" i="40"/>
  <c r="J99" i="40"/>
  <c r="J98" i="40"/>
  <c r="J97" i="40"/>
  <c r="J96" i="40"/>
  <c r="J94" i="40"/>
  <c r="J93" i="40"/>
  <c r="J92" i="40"/>
  <c r="J88" i="40"/>
  <c r="J85" i="40"/>
  <c r="J84" i="40"/>
  <c r="J82" i="40"/>
  <c r="J81" i="40"/>
  <c r="J80" i="40"/>
  <c r="J79" i="40"/>
  <c r="J78" i="40"/>
  <c r="J77" i="40"/>
  <c r="J76" i="40"/>
  <c r="J74" i="40"/>
  <c r="J72" i="40"/>
  <c r="J71" i="40"/>
  <c r="J70" i="40"/>
  <c r="J69" i="40"/>
  <c r="J68" i="40"/>
  <c r="J65" i="40"/>
  <c r="J64" i="40"/>
  <c r="J63" i="40"/>
  <c r="J62" i="40"/>
  <c r="J61" i="40"/>
  <c r="J60" i="40"/>
  <c r="J59" i="40"/>
  <c r="J56" i="40"/>
  <c r="J55" i="40"/>
  <c r="J54" i="40"/>
  <c r="J53" i="40"/>
  <c r="J52" i="40"/>
  <c r="J51" i="40"/>
  <c r="J50" i="40"/>
  <c r="J49" i="40"/>
  <c r="J47" i="40"/>
  <c r="J45" i="40"/>
  <c r="J44" i="40"/>
  <c r="J43" i="40"/>
  <c r="J42" i="40"/>
  <c r="J41" i="40"/>
  <c r="J40" i="40"/>
  <c r="J39" i="40"/>
  <c r="J38" i="40"/>
  <c r="J37" i="40"/>
  <c r="I300" i="40"/>
  <c r="I299" i="40"/>
  <c r="I291" i="40"/>
  <c r="I290" i="40"/>
  <c r="I289" i="40"/>
  <c r="I288" i="40"/>
  <c r="I287" i="40"/>
  <c r="I286" i="40"/>
  <c r="I284" i="40"/>
  <c r="I283" i="40"/>
  <c r="I282" i="40"/>
  <c r="I280" i="40"/>
  <c r="I279" i="40"/>
  <c r="I277" i="40"/>
  <c r="I276" i="40"/>
  <c r="I273" i="40"/>
  <c r="I272" i="40"/>
  <c r="I271" i="40"/>
  <c r="I270" i="40"/>
  <c r="I269" i="40"/>
  <c r="I266" i="40"/>
  <c r="I265" i="40"/>
  <c r="I263" i="40"/>
  <c r="I262" i="40"/>
  <c r="I261" i="40"/>
  <c r="I260" i="40"/>
  <c r="I258" i="40"/>
  <c r="I257" i="40"/>
  <c r="I256" i="40"/>
  <c r="I255" i="40"/>
  <c r="I254" i="40"/>
  <c r="I252" i="40"/>
  <c r="I251" i="40"/>
  <c r="I247" i="40"/>
  <c r="I246" i="40"/>
  <c r="I244" i="40"/>
  <c r="I243" i="40"/>
  <c r="I242" i="40"/>
  <c r="I240" i="40"/>
  <c r="I239" i="40"/>
  <c r="I238" i="40"/>
  <c r="I237" i="40"/>
  <c r="I236" i="40"/>
  <c r="I234" i="40"/>
  <c r="I233" i="40"/>
  <c r="I232" i="40"/>
  <c r="I230" i="40"/>
  <c r="I229" i="40"/>
  <c r="I228" i="40"/>
  <c r="I225" i="40"/>
  <c r="I224" i="40"/>
  <c r="I222" i="40"/>
  <c r="I221" i="40"/>
  <c r="I219" i="40"/>
  <c r="I218" i="40"/>
  <c r="I217" i="40"/>
  <c r="I215" i="40"/>
  <c r="I214" i="40"/>
  <c r="I213" i="40"/>
  <c r="I210" i="40"/>
  <c r="I209" i="40"/>
  <c r="I208" i="40"/>
  <c r="I207" i="40"/>
  <c r="I205" i="40"/>
  <c r="I204" i="40"/>
  <c r="I200" i="40"/>
  <c r="I199" i="40"/>
  <c r="I197" i="40"/>
  <c r="I196" i="40"/>
  <c r="I194" i="40"/>
  <c r="I193" i="40"/>
  <c r="I189" i="40"/>
  <c r="I188" i="40"/>
  <c r="I186" i="40"/>
  <c r="I185" i="40"/>
  <c r="I184" i="40"/>
  <c r="I183" i="40"/>
  <c r="I182" i="40"/>
  <c r="I179" i="40"/>
  <c r="I178" i="40"/>
  <c r="I176" i="40"/>
  <c r="I175" i="40"/>
  <c r="I174" i="40"/>
  <c r="I172" i="40"/>
  <c r="I171" i="40"/>
  <c r="I169" i="40"/>
  <c r="I168" i="40"/>
  <c r="I166" i="40"/>
  <c r="I165" i="40"/>
  <c r="I163" i="40"/>
  <c r="I162" i="40"/>
  <c r="I160" i="40"/>
  <c r="I159" i="40"/>
  <c r="I157" i="40"/>
  <c r="I156" i="40"/>
  <c r="I152" i="40"/>
  <c r="I151" i="40"/>
  <c r="I150" i="40"/>
  <c r="I149" i="40"/>
  <c r="I146" i="40"/>
  <c r="I145" i="40"/>
  <c r="I143" i="40"/>
  <c r="I142" i="40"/>
  <c r="I141" i="40"/>
  <c r="I140" i="40"/>
  <c r="I139" i="40"/>
  <c r="I130" i="40"/>
  <c r="I129" i="40"/>
  <c r="I128" i="40"/>
  <c r="I127" i="40"/>
  <c r="I126" i="40"/>
  <c r="I125" i="40"/>
  <c r="I121" i="40"/>
  <c r="I120" i="40"/>
  <c r="I118" i="40"/>
  <c r="I117" i="40"/>
  <c r="I116" i="40"/>
  <c r="I110" i="40"/>
  <c r="I109" i="40"/>
  <c r="I108" i="40"/>
  <c r="I105" i="40"/>
  <c r="I104" i="40"/>
  <c r="I102" i="40"/>
  <c r="I101" i="40"/>
  <c r="I100" i="40"/>
  <c r="I99" i="40"/>
  <c r="I98" i="40"/>
  <c r="I97" i="40"/>
  <c r="I96" i="40"/>
  <c r="I94" i="40"/>
  <c r="I93" i="40"/>
  <c r="I92" i="40"/>
  <c r="I88" i="40"/>
  <c r="I85" i="40"/>
  <c r="I84" i="40"/>
  <c r="I82" i="40"/>
  <c r="I81" i="40"/>
  <c r="I80" i="40"/>
  <c r="I79" i="40"/>
  <c r="I78" i="40"/>
  <c r="I77" i="40"/>
  <c r="I76" i="40"/>
  <c r="I74" i="40"/>
  <c r="I72" i="40"/>
  <c r="I71" i="40"/>
  <c r="I70" i="40"/>
  <c r="I69" i="40"/>
  <c r="I68" i="40"/>
  <c r="I65" i="40"/>
  <c r="I64" i="40"/>
  <c r="I63" i="40"/>
  <c r="I62" i="40"/>
  <c r="I61" i="40"/>
  <c r="I60" i="40"/>
  <c r="I59" i="40"/>
  <c r="I56" i="40"/>
  <c r="I55" i="40"/>
  <c r="I54" i="40"/>
  <c r="I53" i="40"/>
  <c r="I52" i="40"/>
  <c r="I51" i="40"/>
  <c r="I50" i="40"/>
  <c r="I49" i="40"/>
  <c r="I47" i="40"/>
  <c r="I45" i="40"/>
  <c r="I44" i="40"/>
  <c r="I43" i="40"/>
  <c r="I42" i="40"/>
  <c r="I41" i="40"/>
  <c r="I40" i="40"/>
  <c r="I39" i="40"/>
  <c r="I38" i="40"/>
  <c r="I37" i="40"/>
  <c r="I303" i="40"/>
  <c r="I302" i="40" s="1"/>
  <c r="I301" i="40" s="1"/>
  <c r="I134" i="40"/>
  <c r="I133" i="40" s="1"/>
  <c r="I132" i="40" s="1"/>
  <c r="G126" i="40"/>
  <c r="G84" i="11" s="1"/>
  <c r="G127" i="40"/>
  <c r="G85" i="11" s="1"/>
  <c r="G128" i="40"/>
  <c r="G86" i="11" s="1"/>
  <c r="G129" i="40"/>
  <c r="G87" i="11" s="1"/>
  <c r="G125" i="40"/>
  <c r="G83" i="11" s="1"/>
  <c r="G121" i="40"/>
  <c r="G76" i="11" s="1"/>
  <c r="G120" i="40"/>
  <c r="G75" i="11" s="1"/>
  <c r="G117" i="40"/>
  <c r="G72" i="11" s="1"/>
  <c r="G118" i="40"/>
  <c r="G73" i="11" s="1"/>
  <c r="G116" i="40"/>
  <c r="G71" i="11" s="1"/>
  <c r="G109" i="40"/>
  <c r="G65" i="11" s="1"/>
  <c r="G110" i="40"/>
  <c r="G108" i="40"/>
  <c r="G64" i="11" s="1"/>
  <c r="G105" i="40"/>
  <c r="G104" i="40"/>
  <c r="G100" i="40"/>
  <c r="G101" i="40"/>
  <c r="G102" i="40"/>
  <c r="G98" i="40"/>
  <c r="G99" i="40"/>
  <c r="G97" i="40"/>
  <c r="G96" i="40"/>
  <c r="G93" i="40"/>
  <c r="G94" i="40"/>
  <c r="G92" i="40"/>
  <c r="G88" i="40"/>
  <c r="G57" i="11" s="1"/>
  <c r="G56" i="11" s="1"/>
  <c r="G55" i="11" s="1"/>
  <c r="G85" i="40"/>
  <c r="G54" i="11" s="1"/>
  <c r="G84" i="40"/>
  <c r="G53" i="11" s="1"/>
  <c r="G82" i="40"/>
  <c r="G51" i="11" s="1"/>
  <c r="G81" i="40"/>
  <c r="G50" i="11" s="1"/>
  <c r="G80" i="40"/>
  <c r="G49" i="11" s="1"/>
  <c r="G79" i="40"/>
  <c r="G48" i="11" s="1"/>
  <c r="G78" i="40"/>
  <c r="G47" i="11" s="1"/>
  <c r="G77" i="40"/>
  <c r="G46" i="11" s="1"/>
  <c r="G76" i="40"/>
  <c r="G45" i="11" s="1"/>
  <c r="G74" i="40"/>
  <c r="G43" i="11" s="1"/>
  <c r="G42" i="11" s="1"/>
  <c r="G72" i="40"/>
  <c r="G41" i="11" s="1"/>
  <c r="G71" i="40"/>
  <c r="G70" i="40"/>
  <c r="G69" i="40"/>
  <c r="G40" i="11" s="1"/>
  <c r="G68" i="40"/>
  <c r="G60" i="40"/>
  <c r="G33" i="11" s="1"/>
  <c r="G61" i="40"/>
  <c r="G34" i="11" s="1"/>
  <c r="G62" i="40"/>
  <c r="G35" i="11" s="1"/>
  <c r="G63" i="40"/>
  <c r="G36" i="11" s="1"/>
  <c r="G64" i="40"/>
  <c r="G37" i="11" s="1"/>
  <c r="G65" i="40"/>
  <c r="G38" i="11" s="1"/>
  <c r="G59" i="40"/>
  <c r="G32" i="11" s="1"/>
  <c r="G50" i="40"/>
  <c r="G24" i="11" s="1"/>
  <c r="G51" i="40"/>
  <c r="G25" i="11" s="1"/>
  <c r="G52" i="40"/>
  <c r="G26" i="11" s="1"/>
  <c r="G53" i="40"/>
  <c r="G27" i="11" s="1"/>
  <c r="G54" i="40"/>
  <c r="G28" i="11" s="1"/>
  <c r="G55" i="40"/>
  <c r="G56" i="40"/>
  <c r="G29" i="11" s="1"/>
  <c r="G49" i="40"/>
  <c r="G23" i="11" s="1"/>
  <c r="G47" i="40"/>
  <c r="G21" i="11" s="1"/>
  <c r="G38" i="40"/>
  <c r="G13" i="11" s="1"/>
  <c r="G39" i="40"/>
  <c r="G14" i="11" s="1"/>
  <c r="G40" i="40"/>
  <c r="G15" i="11" s="1"/>
  <c r="G41" i="40"/>
  <c r="G16" i="11" s="1"/>
  <c r="G42" i="40"/>
  <c r="G17" i="11" s="1"/>
  <c r="G43" i="40"/>
  <c r="G18" i="11" s="1"/>
  <c r="G44" i="40"/>
  <c r="G19" i="11" s="1"/>
  <c r="G45" i="40"/>
  <c r="G37" i="40"/>
  <c r="G12" i="11" s="1"/>
  <c r="F277" i="83"/>
  <c r="F276" i="83"/>
  <c r="F268" i="83"/>
  <c r="F267" i="83"/>
  <c r="F266" i="83"/>
  <c r="F265" i="83"/>
  <c r="F264" i="83"/>
  <c r="F263" i="83"/>
  <c r="F261" i="83"/>
  <c r="F260" i="83"/>
  <c r="F259" i="83"/>
  <c r="F257" i="83"/>
  <c r="F256" i="83"/>
  <c r="F254" i="83"/>
  <c r="F253" i="83"/>
  <c r="F250" i="83"/>
  <c r="F249" i="83"/>
  <c r="F248" i="83"/>
  <c r="F247" i="83"/>
  <c r="F246" i="83"/>
  <c r="F243" i="83"/>
  <c r="F242" i="83"/>
  <c r="F240" i="83"/>
  <c r="F239" i="83"/>
  <c r="F238" i="83"/>
  <c r="F237" i="83"/>
  <c r="F235" i="83"/>
  <c r="F234" i="83"/>
  <c r="F233" i="83"/>
  <c r="F232" i="83"/>
  <c r="F231" i="83"/>
  <c r="F229" i="83"/>
  <c r="F228" i="83"/>
  <c r="F226" i="83"/>
  <c r="F224" i="83"/>
  <c r="F223" i="83"/>
  <c r="F221" i="83"/>
  <c r="F220" i="83"/>
  <c r="F219" i="83"/>
  <c r="F217" i="83"/>
  <c r="F216" i="83"/>
  <c r="F215" i="83"/>
  <c r="F214" i="83"/>
  <c r="F213" i="83"/>
  <c r="F211" i="83"/>
  <c r="F210" i="83"/>
  <c r="F209" i="83"/>
  <c r="F208" i="83"/>
  <c r="F207" i="83"/>
  <c r="F206" i="83"/>
  <c r="F205" i="83"/>
  <c r="F202" i="83"/>
  <c r="F201" i="83"/>
  <c r="F199" i="83"/>
  <c r="F198" i="83"/>
  <c r="F196" i="83"/>
  <c r="F195" i="83"/>
  <c r="F194" i="83"/>
  <c r="F192" i="83"/>
  <c r="F191" i="83"/>
  <c r="F190" i="83"/>
  <c r="F187" i="83"/>
  <c r="F186" i="83"/>
  <c r="F185" i="83"/>
  <c r="F184" i="83"/>
  <c r="F182" i="83"/>
  <c r="F181" i="83"/>
  <c r="F178" i="83"/>
  <c r="F177" i="83"/>
  <c r="F176" i="83"/>
  <c r="F174" i="83"/>
  <c r="F173" i="83"/>
  <c r="F171" i="83"/>
  <c r="F170" i="83"/>
  <c r="F168" i="83"/>
  <c r="F166" i="83"/>
  <c r="F165" i="83"/>
  <c r="F163" i="83"/>
  <c r="F162" i="83"/>
  <c r="F161" i="83"/>
  <c r="F160" i="83"/>
  <c r="F159" i="83"/>
  <c r="F156" i="83"/>
  <c r="F155" i="83"/>
  <c r="F153" i="83"/>
  <c r="F152" i="83"/>
  <c r="F151" i="83"/>
  <c r="F149" i="83"/>
  <c r="F148" i="83"/>
  <c r="F146" i="83"/>
  <c r="F145" i="83"/>
  <c r="F143" i="83"/>
  <c r="F142" i="83"/>
  <c r="F140" i="83"/>
  <c r="F139" i="83"/>
  <c r="F137" i="83"/>
  <c r="F136" i="83"/>
  <c r="F134" i="83"/>
  <c r="F133" i="83"/>
  <c r="F131" i="83"/>
  <c r="F129" i="83"/>
  <c r="F128" i="83"/>
  <c r="F127" i="83"/>
  <c r="F126" i="83"/>
  <c r="F123" i="83"/>
  <c r="F122" i="83"/>
  <c r="F120" i="83"/>
  <c r="F119" i="83"/>
  <c r="F118" i="83"/>
  <c r="F117" i="83"/>
  <c r="F116" i="83"/>
  <c r="F112" i="83"/>
  <c r="F111" i="83"/>
  <c r="F110" i="83"/>
  <c r="F109" i="83"/>
  <c r="F107" i="83"/>
  <c r="F106" i="83"/>
  <c r="F105" i="83"/>
  <c r="F104" i="83"/>
  <c r="F103" i="83"/>
  <c r="F102" i="83"/>
  <c r="F98" i="83"/>
  <c r="F97" i="83"/>
  <c r="F95" i="83"/>
  <c r="F94" i="83"/>
  <c r="F93" i="83"/>
  <c r="F91" i="83"/>
  <c r="F90" i="83"/>
  <c r="F89" i="83"/>
  <c r="F87" i="83"/>
  <c r="F86" i="83"/>
  <c r="F85" i="83"/>
  <c r="F82" i="83"/>
  <c r="F81" i="83"/>
  <c r="F79" i="83"/>
  <c r="F78" i="83"/>
  <c r="F77" i="83"/>
  <c r="F76" i="83"/>
  <c r="F75" i="83"/>
  <c r="F74" i="83"/>
  <c r="F73" i="83"/>
  <c r="F71" i="83"/>
  <c r="F70" i="83"/>
  <c r="F69" i="83"/>
  <c r="F65" i="83"/>
  <c r="F62" i="83"/>
  <c r="F61" i="83"/>
  <c r="F59" i="83"/>
  <c r="F58" i="83"/>
  <c r="F57" i="83"/>
  <c r="F56" i="83"/>
  <c r="F55" i="83"/>
  <c r="F54" i="83"/>
  <c r="F53" i="83"/>
  <c r="F51" i="83"/>
  <c r="F49" i="83"/>
  <c r="F48" i="83"/>
  <c r="F47" i="83"/>
  <c r="F46" i="83"/>
  <c r="F45" i="83"/>
  <c r="F42" i="83"/>
  <c r="F41" i="83"/>
  <c r="F40" i="83"/>
  <c r="F39" i="83"/>
  <c r="F38" i="83"/>
  <c r="F37" i="83"/>
  <c r="F36" i="83"/>
  <c r="F33" i="83"/>
  <c r="F32" i="83"/>
  <c r="F31" i="83"/>
  <c r="F30" i="83"/>
  <c r="F29" i="83"/>
  <c r="F28" i="83"/>
  <c r="F27" i="83"/>
  <c r="F26" i="83"/>
  <c r="F24" i="83"/>
  <c r="F22" i="83"/>
  <c r="F21" i="83"/>
  <c r="F20" i="83"/>
  <c r="F19" i="83"/>
  <c r="F18" i="83"/>
  <c r="F17" i="83"/>
  <c r="F16" i="83"/>
  <c r="F15" i="83"/>
  <c r="F14" i="83"/>
  <c r="D277" i="82"/>
  <c r="D276" i="82"/>
  <c r="D268" i="82"/>
  <c r="D267" i="82"/>
  <c r="D266" i="82"/>
  <c r="D265" i="82"/>
  <c r="D264" i="82"/>
  <c r="D263" i="82"/>
  <c r="D261" i="82"/>
  <c r="D260" i="82"/>
  <c r="D259" i="82"/>
  <c r="D257" i="82"/>
  <c r="D256" i="82"/>
  <c r="D254" i="82"/>
  <c r="D253" i="82"/>
  <c r="D250" i="82"/>
  <c r="D249" i="82"/>
  <c r="D248" i="82"/>
  <c r="D247" i="82"/>
  <c r="D246" i="82"/>
  <c r="D243" i="82"/>
  <c r="D242" i="82"/>
  <c r="D240" i="82"/>
  <c r="D239" i="82"/>
  <c r="D238" i="82"/>
  <c r="D237" i="82"/>
  <c r="D235" i="82"/>
  <c r="D234" i="82"/>
  <c r="D233" i="82"/>
  <c r="D232" i="82"/>
  <c r="D231" i="82"/>
  <c r="D229" i="82"/>
  <c r="D228" i="82"/>
  <c r="D226" i="82"/>
  <c r="D224" i="82"/>
  <c r="D223" i="82"/>
  <c r="D221" i="82"/>
  <c r="D220" i="82"/>
  <c r="D219" i="82"/>
  <c r="D217" i="82"/>
  <c r="D216" i="82"/>
  <c r="D215" i="82"/>
  <c r="D214" i="82"/>
  <c r="D213" i="82"/>
  <c r="D211" i="82"/>
  <c r="D210" i="82"/>
  <c r="D209" i="82"/>
  <c r="D208" i="82"/>
  <c r="D207" i="82"/>
  <c r="D206" i="82"/>
  <c r="D205" i="82"/>
  <c r="D202" i="82"/>
  <c r="D201" i="82"/>
  <c r="D199" i="82"/>
  <c r="D198" i="82"/>
  <c r="D196" i="82"/>
  <c r="D195" i="82"/>
  <c r="D194" i="82"/>
  <c r="D192" i="82"/>
  <c r="D191" i="82"/>
  <c r="D190" i="82"/>
  <c r="D187" i="82"/>
  <c r="D186" i="82"/>
  <c r="D185" i="82"/>
  <c r="D184" i="82"/>
  <c r="D182" i="82"/>
  <c r="D181" i="82"/>
  <c r="D178" i="82"/>
  <c r="D177" i="82"/>
  <c r="D176" i="82"/>
  <c r="D174" i="82"/>
  <c r="D173" i="82"/>
  <c r="D171" i="82"/>
  <c r="D170" i="82"/>
  <c r="D168" i="82"/>
  <c r="D166" i="82"/>
  <c r="D165" i="82"/>
  <c r="D163" i="82"/>
  <c r="D162" i="82"/>
  <c r="D161" i="82"/>
  <c r="D160" i="82"/>
  <c r="D159" i="82"/>
  <c r="D156" i="82"/>
  <c r="D155" i="82"/>
  <c r="D153" i="82"/>
  <c r="D152" i="82"/>
  <c r="D151" i="82"/>
  <c r="D149" i="82"/>
  <c r="D148" i="82"/>
  <c r="D146" i="82"/>
  <c r="D145" i="82"/>
  <c r="D143" i="82"/>
  <c r="D142" i="82"/>
  <c r="D140" i="82"/>
  <c r="D139" i="82"/>
  <c r="D137" i="82"/>
  <c r="D136" i="82"/>
  <c r="D134" i="82"/>
  <c r="D133" i="82"/>
  <c r="D131" i="82"/>
  <c r="D129" i="82"/>
  <c r="D128" i="82"/>
  <c r="D127" i="82"/>
  <c r="D126" i="82"/>
  <c r="D123" i="82"/>
  <c r="D122" i="82"/>
  <c r="D120" i="82"/>
  <c r="D119" i="82"/>
  <c r="D118" i="82"/>
  <c r="D117" i="82"/>
  <c r="D116" i="82"/>
  <c r="D112" i="82"/>
  <c r="D111" i="82"/>
  <c r="D110" i="82"/>
  <c r="D109" i="82"/>
  <c r="D107" i="82"/>
  <c r="D106" i="82"/>
  <c r="D105" i="82"/>
  <c r="D104" i="82"/>
  <c r="D103" i="82"/>
  <c r="D102" i="82"/>
  <c r="D98" i="82"/>
  <c r="D97" i="82"/>
  <c r="D95" i="82"/>
  <c r="D94" i="82"/>
  <c r="D93" i="82"/>
  <c r="D91" i="82"/>
  <c r="D90" i="82"/>
  <c r="D89" i="82"/>
  <c r="D87" i="82"/>
  <c r="D86" i="82"/>
  <c r="D85" i="82"/>
  <c r="D82" i="82"/>
  <c r="D81" i="82"/>
  <c r="D79" i="82"/>
  <c r="D78" i="82"/>
  <c r="D77" i="82"/>
  <c r="D76" i="82"/>
  <c r="D75" i="82"/>
  <c r="D74" i="82"/>
  <c r="D73" i="82"/>
  <c r="D71" i="82"/>
  <c r="D70" i="82"/>
  <c r="D69" i="82"/>
  <c r="D65" i="82"/>
  <c r="D62" i="82"/>
  <c r="D61" i="82"/>
  <c r="D59" i="82"/>
  <c r="D58" i="82"/>
  <c r="D57" i="82"/>
  <c r="D56" i="82"/>
  <c r="D55" i="82"/>
  <c r="D54" i="82"/>
  <c r="D53" i="82"/>
  <c r="D51" i="82"/>
  <c r="D49" i="82"/>
  <c r="D48" i="82"/>
  <c r="D47" i="82"/>
  <c r="D46" i="82"/>
  <c r="D45" i="82"/>
  <c r="D42" i="82"/>
  <c r="D41" i="82"/>
  <c r="D40" i="82"/>
  <c r="D39" i="82"/>
  <c r="D38" i="82"/>
  <c r="D37" i="82"/>
  <c r="D36" i="82"/>
  <c r="D33" i="82"/>
  <c r="D32" i="82"/>
  <c r="D31" i="82"/>
  <c r="D30" i="82"/>
  <c r="D29" i="82"/>
  <c r="D28" i="82"/>
  <c r="D27" i="82"/>
  <c r="D26" i="82"/>
  <c r="D24" i="82"/>
  <c r="D22" i="82"/>
  <c r="D21" i="82"/>
  <c r="D20" i="82"/>
  <c r="D19" i="82"/>
  <c r="D18" i="82"/>
  <c r="D17" i="82"/>
  <c r="D16" i="82"/>
  <c r="D15" i="82"/>
  <c r="D14" i="82"/>
  <c r="C296" i="82"/>
  <c r="C294" i="82"/>
  <c r="C290" i="82"/>
  <c r="C288" i="82"/>
  <c r="A296" i="82"/>
  <c r="A297" i="83" s="1"/>
  <c r="A294" i="82"/>
  <c r="A295" i="83" s="1"/>
  <c r="A291" i="82"/>
  <c r="A290" i="82"/>
  <c r="A288" i="82"/>
  <c r="A288" i="83" s="1"/>
  <c r="A4" i="82"/>
  <c r="A1" i="82"/>
  <c r="A1" i="83" s="1"/>
  <c r="G82" i="11" l="1"/>
  <c r="G81" i="11" s="1"/>
  <c r="G80" i="11" s="1"/>
  <c r="G74" i="11"/>
  <c r="G52" i="11"/>
  <c r="G44" i="11"/>
  <c r="G22" i="11"/>
  <c r="G11" i="11"/>
  <c r="E87" i="1" l="1"/>
  <c r="E86" i="1"/>
  <c r="E85" i="1"/>
  <c r="E88" i="1"/>
  <c r="E275" i="83" l="1"/>
  <c r="E274" i="83" s="1"/>
  <c r="D275" i="83"/>
  <c r="D274" i="83" s="1"/>
  <c r="E271" i="83"/>
  <c r="D271" i="83"/>
  <c r="E270" i="83"/>
  <c r="E269" i="83" s="1"/>
  <c r="E262" i="83"/>
  <c r="D262" i="83"/>
  <c r="E258" i="83"/>
  <c r="D258" i="83"/>
  <c r="E255" i="83"/>
  <c r="D255" i="83"/>
  <c r="E252" i="83"/>
  <c r="D252" i="83"/>
  <c r="E241" i="83"/>
  <c r="D241" i="83"/>
  <c r="E236" i="83"/>
  <c r="D236" i="83"/>
  <c r="E230" i="83"/>
  <c r="D230" i="83"/>
  <c r="E227" i="83"/>
  <c r="D227" i="83"/>
  <c r="E218" i="83"/>
  <c r="D218" i="83"/>
  <c r="E212" i="83"/>
  <c r="D212" i="83"/>
  <c r="E204" i="83"/>
  <c r="D204" i="83"/>
  <c r="E200" i="83"/>
  <c r="D200" i="83"/>
  <c r="E197" i="83"/>
  <c r="D197" i="83"/>
  <c r="E193" i="83"/>
  <c r="D193" i="83"/>
  <c r="E189" i="83"/>
  <c r="D189" i="83"/>
  <c r="E183" i="83"/>
  <c r="D183" i="83"/>
  <c r="E175" i="83"/>
  <c r="D175" i="83"/>
  <c r="E172" i="83"/>
  <c r="D172" i="83"/>
  <c r="E169" i="83"/>
  <c r="D169" i="83"/>
  <c r="E164" i="83"/>
  <c r="D164" i="83"/>
  <c r="E158" i="83"/>
  <c r="D158" i="83"/>
  <c r="E154" i="83"/>
  <c r="D154" i="83"/>
  <c r="E150" i="83"/>
  <c r="D150" i="83"/>
  <c r="E147" i="83"/>
  <c r="C147" i="83" s="1"/>
  <c r="D147" i="83"/>
  <c r="E144" i="83"/>
  <c r="D144" i="83"/>
  <c r="E141" i="83"/>
  <c r="D141" i="83"/>
  <c r="E138" i="83"/>
  <c r="D138" i="83"/>
  <c r="E135" i="83"/>
  <c r="D135" i="83"/>
  <c r="E132" i="83"/>
  <c r="D132" i="83"/>
  <c r="E131" i="83"/>
  <c r="D131" i="83"/>
  <c r="E125" i="83"/>
  <c r="E124" i="83" s="1"/>
  <c r="D125" i="83"/>
  <c r="D124" i="83" s="1"/>
  <c r="E121" i="83"/>
  <c r="D121" i="83"/>
  <c r="E101" i="83"/>
  <c r="E100" i="83" s="1"/>
  <c r="E99" i="83" s="1"/>
  <c r="E10" i="83" s="1"/>
  <c r="D101" i="83"/>
  <c r="D100" i="83" s="1"/>
  <c r="E96" i="83"/>
  <c r="D96" i="83"/>
  <c r="E92" i="83"/>
  <c r="D92" i="83"/>
  <c r="E88" i="83"/>
  <c r="D88" i="83"/>
  <c r="E84" i="83"/>
  <c r="E83" i="83" s="1"/>
  <c r="D84" i="83"/>
  <c r="E80" i="83"/>
  <c r="D80" i="83"/>
  <c r="E72" i="83"/>
  <c r="E68" i="83" s="1"/>
  <c r="D72" i="83"/>
  <c r="D68" i="83" s="1"/>
  <c r="E64" i="83"/>
  <c r="E63" i="83" s="1"/>
  <c r="D64" i="83"/>
  <c r="D63" i="83" s="1"/>
  <c r="E60" i="83"/>
  <c r="D60" i="83"/>
  <c r="E52" i="83"/>
  <c r="D52" i="83"/>
  <c r="E50" i="83"/>
  <c r="C50" i="83" s="1"/>
  <c r="D50" i="83"/>
  <c r="E25" i="83"/>
  <c r="C25" i="83" s="1"/>
  <c r="D25" i="83"/>
  <c r="E23" i="83"/>
  <c r="C23" i="83" s="1"/>
  <c r="D23" i="83"/>
  <c r="E13" i="83"/>
  <c r="C13" i="83" s="1"/>
  <c r="D13" i="83"/>
  <c r="C275" i="82"/>
  <c r="C270" i="82" s="1"/>
  <c r="C271" i="82"/>
  <c r="C262" i="82"/>
  <c r="C258" i="82"/>
  <c r="C255" i="82"/>
  <c r="C252" i="82"/>
  <c r="C241" i="82"/>
  <c r="C236" i="82"/>
  <c r="C230" i="82"/>
  <c r="C227" i="82"/>
  <c r="C218" i="82"/>
  <c r="C212" i="82"/>
  <c r="C204" i="82"/>
  <c r="C200" i="82"/>
  <c r="C197" i="82"/>
  <c r="C193" i="82"/>
  <c r="C189" i="82"/>
  <c r="C183" i="82"/>
  <c r="C175" i="82"/>
  <c r="C172" i="82"/>
  <c r="C169" i="82"/>
  <c r="C164" i="82"/>
  <c r="C158" i="82"/>
  <c r="C154" i="82"/>
  <c r="C150" i="82"/>
  <c r="C147" i="82"/>
  <c r="C144" i="82"/>
  <c r="C141" i="82"/>
  <c r="C138" i="82"/>
  <c r="C135" i="82"/>
  <c r="C132" i="82"/>
  <c r="C125" i="82"/>
  <c r="C124" i="82" s="1"/>
  <c r="C121" i="82"/>
  <c r="C101" i="82"/>
  <c r="C100" i="82" s="1"/>
  <c r="C96" i="82"/>
  <c r="C92" i="82"/>
  <c r="C88" i="82"/>
  <c r="C84" i="82"/>
  <c r="C80" i="82"/>
  <c r="C72" i="82"/>
  <c r="C68" i="82" s="1"/>
  <c r="C64" i="82"/>
  <c r="C63" i="82" s="1"/>
  <c r="C60" i="82"/>
  <c r="C52" i="82"/>
  <c r="C50" i="82"/>
  <c r="C25" i="82"/>
  <c r="C23" i="82"/>
  <c r="C13" i="82"/>
  <c r="G285" i="83"/>
  <c r="G284" i="83"/>
  <c r="G283" i="83"/>
  <c r="G282" i="83"/>
  <c r="G281" i="83"/>
  <c r="G280" i="83"/>
  <c r="G279" i="83"/>
  <c r="G278" i="83"/>
  <c r="G277" i="83"/>
  <c r="J300" i="40" s="1"/>
  <c r="C277" i="83"/>
  <c r="G276" i="83"/>
  <c r="J299" i="40" s="1"/>
  <c r="C276" i="83"/>
  <c r="C275" i="83"/>
  <c r="G268" i="83"/>
  <c r="J291" i="40" s="1"/>
  <c r="C268" i="83"/>
  <c r="G267" i="83"/>
  <c r="J290" i="40" s="1"/>
  <c r="C267" i="83"/>
  <c r="G266" i="83"/>
  <c r="J289" i="40" s="1"/>
  <c r="C266" i="83"/>
  <c r="G265" i="83"/>
  <c r="J288" i="40" s="1"/>
  <c r="C265" i="83"/>
  <c r="G264" i="83"/>
  <c r="J287" i="40" s="1"/>
  <c r="C264" i="83"/>
  <c r="G263" i="83"/>
  <c r="J286" i="40" s="1"/>
  <c r="C263" i="83"/>
  <c r="G261" i="83"/>
  <c r="J284" i="40" s="1"/>
  <c r="C261" i="83"/>
  <c r="G260" i="83"/>
  <c r="J283" i="40" s="1"/>
  <c r="C260" i="83"/>
  <c r="G259" i="83"/>
  <c r="J282" i="40" s="1"/>
  <c r="C259" i="83"/>
  <c r="G257" i="83"/>
  <c r="J280" i="40" s="1"/>
  <c r="C257" i="83"/>
  <c r="G256" i="83"/>
  <c r="J279" i="40" s="1"/>
  <c r="C256" i="83"/>
  <c r="G254" i="83"/>
  <c r="J277" i="40" s="1"/>
  <c r="C254" i="83"/>
  <c r="G253" i="83"/>
  <c r="J276" i="40" s="1"/>
  <c r="C253" i="83"/>
  <c r="G250" i="83"/>
  <c r="J273" i="40" s="1"/>
  <c r="C250" i="83"/>
  <c r="G249" i="83"/>
  <c r="J272" i="40" s="1"/>
  <c r="C249" i="83"/>
  <c r="G248" i="83"/>
  <c r="J271" i="40" s="1"/>
  <c r="C248" i="83"/>
  <c r="G247" i="83"/>
  <c r="J270" i="40" s="1"/>
  <c r="C247" i="83"/>
  <c r="G246" i="83"/>
  <c r="J269" i="40" s="1"/>
  <c r="C246" i="83"/>
  <c r="C243" i="83"/>
  <c r="G242" i="83"/>
  <c r="J265" i="40" s="1"/>
  <c r="C242" i="83"/>
  <c r="C240" i="83"/>
  <c r="G239" i="83"/>
  <c r="J262" i="40" s="1"/>
  <c r="C239" i="83"/>
  <c r="G238" i="83"/>
  <c r="J261" i="40" s="1"/>
  <c r="C238" i="83"/>
  <c r="G237" i="83"/>
  <c r="J260" i="40" s="1"/>
  <c r="C237" i="83"/>
  <c r="G235" i="83"/>
  <c r="J258" i="40" s="1"/>
  <c r="C235" i="83"/>
  <c r="G234" i="83"/>
  <c r="J257" i="40" s="1"/>
  <c r="C234" i="83"/>
  <c r="G233" i="83"/>
  <c r="J256" i="40" s="1"/>
  <c r="C233" i="83"/>
  <c r="G232" i="83"/>
  <c r="J255" i="40" s="1"/>
  <c r="C232" i="83"/>
  <c r="G231" i="83"/>
  <c r="J254" i="40" s="1"/>
  <c r="C231" i="83"/>
  <c r="C230" i="83"/>
  <c r="G229" i="83"/>
  <c r="J252" i="40" s="1"/>
  <c r="C229" i="83"/>
  <c r="G228" i="83"/>
  <c r="J251" i="40" s="1"/>
  <c r="C228" i="83"/>
  <c r="G226" i="83"/>
  <c r="C226" i="83"/>
  <c r="G224" i="83"/>
  <c r="J247" i="40" s="1"/>
  <c r="C224" i="83"/>
  <c r="G223" i="83"/>
  <c r="J246" i="40" s="1"/>
  <c r="C223" i="83"/>
  <c r="G221" i="83"/>
  <c r="J244" i="40" s="1"/>
  <c r="C221" i="83"/>
  <c r="G220" i="83"/>
  <c r="J243" i="40" s="1"/>
  <c r="C220" i="83"/>
  <c r="G219" i="83"/>
  <c r="J242" i="40" s="1"/>
  <c r="C219" i="83"/>
  <c r="G217" i="83"/>
  <c r="J240" i="40" s="1"/>
  <c r="C217" i="83"/>
  <c r="C216" i="83"/>
  <c r="C215" i="83"/>
  <c r="G214" i="83"/>
  <c r="J237" i="40" s="1"/>
  <c r="C214" i="83"/>
  <c r="G213" i="83"/>
  <c r="J236" i="40" s="1"/>
  <c r="C213" i="83"/>
  <c r="G211" i="83"/>
  <c r="J234" i="40" s="1"/>
  <c r="C211" i="83"/>
  <c r="G210" i="83"/>
  <c r="J233" i="40" s="1"/>
  <c r="C210" i="83"/>
  <c r="G209" i="83"/>
  <c r="J232" i="40" s="1"/>
  <c r="C209" i="83"/>
  <c r="G208" i="83"/>
  <c r="C208" i="83"/>
  <c r="G207" i="83"/>
  <c r="J230" i="40" s="1"/>
  <c r="C207" i="83"/>
  <c r="G206" i="83"/>
  <c r="J229" i="40" s="1"/>
  <c r="C206" i="83"/>
  <c r="G205" i="83"/>
  <c r="J228" i="40" s="1"/>
  <c r="C205" i="83"/>
  <c r="G202" i="83"/>
  <c r="J225" i="40" s="1"/>
  <c r="C202" i="83"/>
  <c r="G201" i="83"/>
  <c r="J224" i="40" s="1"/>
  <c r="C201" i="83"/>
  <c r="G199" i="83"/>
  <c r="J222" i="40" s="1"/>
  <c r="C199" i="83"/>
  <c r="G198" i="83"/>
  <c r="J221" i="40" s="1"/>
  <c r="C198" i="83"/>
  <c r="C196" i="83"/>
  <c r="G195" i="83"/>
  <c r="J218" i="40" s="1"/>
  <c r="C195" i="83"/>
  <c r="G194" i="83"/>
  <c r="J217" i="40" s="1"/>
  <c r="C194" i="83"/>
  <c r="G192" i="83"/>
  <c r="J215" i="40" s="1"/>
  <c r="C192" i="83"/>
  <c r="G191" i="83"/>
  <c r="J214" i="40" s="1"/>
  <c r="C191" i="83"/>
  <c r="G190" i="83"/>
  <c r="J213" i="40" s="1"/>
  <c r="C190" i="83"/>
  <c r="G187" i="83"/>
  <c r="J210" i="40" s="1"/>
  <c r="C187" i="83"/>
  <c r="G186" i="83"/>
  <c r="J209" i="40" s="1"/>
  <c r="C186" i="83"/>
  <c r="G185" i="83"/>
  <c r="J208" i="40" s="1"/>
  <c r="C185" i="83"/>
  <c r="G184" i="83"/>
  <c r="J207" i="40" s="1"/>
  <c r="C184" i="83"/>
  <c r="G182" i="83"/>
  <c r="J205" i="40" s="1"/>
  <c r="C182" i="83"/>
  <c r="G181" i="83"/>
  <c r="J204" i="40" s="1"/>
  <c r="C181" i="83"/>
  <c r="G178" i="83"/>
  <c r="G177" i="83"/>
  <c r="J200" i="40" s="1"/>
  <c r="C177" i="83"/>
  <c r="G176" i="83"/>
  <c r="J199" i="40" s="1"/>
  <c r="C176" i="83"/>
  <c r="G174" i="83"/>
  <c r="J197" i="40" s="1"/>
  <c r="C174" i="83"/>
  <c r="G173" i="83"/>
  <c r="J196" i="40" s="1"/>
  <c r="C173" i="83"/>
  <c r="G171" i="83"/>
  <c r="J194" i="40" s="1"/>
  <c r="C171" i="83"/>
  <c r="G170" i="83"/>
  <c r="J193" i="40" s="1"/>
  <c r="C170" i="83"/>
  <c r="G168" i="83"/>
  <c r="C168" i="83"/>
  <c r="G166" i="83"/>
  <c r="J189" i="40" s="1"/>
  <c r="C166" i="83"/>
  <c r="G165" i="83"/>
  <c r="J188" i="40" s="1"/>
  <c r="C165" i="83"/>
  <c r="G163" i="83"/>
  <c r="J186" i="40" s="1"/>
  <c r="C163" i="83"/>
  <c r="G162" i="83"/>
  <c r="J185" i="40" s="1"/>
  <c r="C162" i="83"/>
  <c r="G161" i="83"/>
  <c r="J184" i="40" s="1"/>
  <c r="C161" i="83"/>
  <c r="G160" i="83"/>
  <c r="J183" i="40" s="1"/>
  <c r="C160" i="83"/>
  <c r="G159" i="83"/>
  <c r="J182" i="40" s="1"/>
  <c r="C159" i="83"/>
  <c r="G156" i="83"/>
  <c r="J179" i="40" s="1"/>
  <c r="C156" i="83"/>
  <c r="G155" i="83"/>
  <c r="J178" i="40" s="1"/>
  <c r="C155" i="83"/>
  <c r="G153" i="83"/>
  <c r="J176" i="40" s="1"/>
  <c r="C153" i="83"/>
  <c r="G152" i="83"/>
  <c r="J175" i="40" s="1"/>
  <c r="C152" i="83"/>
  <c r="G151" i="83"/>
  <c r="J174" i="40" s="1"/>
  <c r="C151" i="83"/>
  <c r="G149" i="83"/>
  <c r="J172" i="40" s="1"/>
  <c r="C149" i="83"/>
  <c r="G148" i="83"/>
  <c r="J171" i="40" s="1"/>
  <c r="C148" i="83"/>
  <c r="G146" i="83"/>
  <c r="J169" i="40" s="1"/>
  <c r="C146" i="83"/>
  <c r="G145" i="83"/>
  <c r="J168" i="40" s="1"/>
  <c r="C145" i="83"/>
  <c r="G143" i="83"/>
  <c r="J166" i="40" s="1"/>
  <c r="C143" i="83"/>
  <c r="G142" i="83"/>
  <c r="J165" i="40" s="1"/>
  <c r="C142" i="83"/>
  <c r="G140" i="83"/>
  <c r="J163" i="40" s="1"/>
  <c r="C140" i="83"/>
  <c r="G139" i="83"/>
  <c r="J162" i="40" s="1"/>
  <c r="C139" i="83"/>
  <c r="C138" i="83"/>
  <c r="G137" i="83"/>
  <c r="J160" i="40" s="1"/>
  <c r="C137" i="83"/>
  <c r="G136" i="83"/>
  <c r="J159" i="40" s="1"/>
  <c r="C136" i="83"/>
  <c r="G134" i="83"/>
  <c r="J157" i="40" s="1"/>
  <c r="C134" i="83"/>
  <c r="G133" i="83"/>
  <c r="J156" i="40" s="1"/>
  <c r="C133" i="83"/>
  <c r="G131" i="83"/>
  <c r="C131" i="83"/>
  <c r="G129" i="83"/>
  <c r="J152" i="40" s="1"/>
  <c r="C129" i="83"/>
  <c r="C128" i="83"/>
  <c r="G127" i="83"/>
  <c r="J150" i="40" s="1"/>
  <c r="C127" i="83"/>
  <c r="G126" i="83"/>
  <c r="J149" i="40" s="1"/>
  <c r="C126" i="83"/>
  <c r="G123" i="83"/>
  <c r="J146" i="40" s="1"/>
  <c r="C123" i="83"/>
  <c r="G122" i="83"/>
  <c r="J145" i="40" s="1"/>
  <c r="C122" i="83"/>
  <c r="G120" i="83"/>
  <c r="J143" i="40" s="1"/>
  <c r="C120" i="83"/>
  <c r="G119" i="83"/>
  <c r="J142" i="40" s="1"/>
  <c r="C119" i="83"/>
  <c r="G118" i="83"/>
  <c r="J141" i="40" s="1"/>
  <c r="C118" i="83"/>
  <c r="G117" i="83"/>
  <c r="J140" i="40" s="1"/>
  <c r="C117" i="83"/>
  <c r="G116" i="83"/>
  <c r="J139" i="40" s="1"/>
  <c r="C116" i="83"/>
  <c r="G112" i="83"/>
  <c r="C112" i="83"/>
  <c r="G111" i="83"/>
  <c r="C111" i="83"/>
  <c r="G110" i="83"/>
  <c r="C110" i="83"/>
  <c r="G109" i="83"/>
  <c r="C109" i="83"/>
  <c r="G107" i="83"/>
  <c r="J130" i="40" s="1"/>
  <c r="C107" i="83"/>
  <c r="G106" i="83"/>
  <c r="C106" i="83"/>
  <c r="G105" i="83"/>
  <c r="C105" i="83"/>
  <c r="G104" i="83"/>
  <c r="C104" i="83"/>
  <c r="G103" i="83"/>
  <c r="C103" i="83"/>
  <c r="G102" i="83"/>
  <c r="C102" i="83"/>
  <c r="G98" i="83"/>
  <c r="C98" i="83"/>
  <c r="G97" i="83"/>
  <c r="C97" i="83"/>
  <c r="C96" i="83"/>
  <c r="G95" i="83"/>
  <c r="C95" i="83"/>
  <c r="G94" i="83"/>
  <c r="C94" i="83"/>
  <c r="G93" i="83"/>
  <c r="C93" i="83"/>
  <c r="C92" i="83"/>
  <c r="G91" i="83"/>
  <c r="C91" i="83"/>
  <c r="G90" i="83"/>
  <c r="C90" i="83"/>
  <c r="G89" i="83"/>
  <c r="C89" i="83"/>
  <c r="C88" i="83"/>
  <c r="G87" i="83"/>
  <c r="C87" i="83"/>
  <c r="G86" i="83"/>
  <c r="C86" i="83"/>
  <c r="C85" i="83"/>
  <c r="C84" i="83"/>
  <c r="G82" i="83"/>
  <c r="C82" i="83"/>
  <c r="G81" i="83"/>
  <c r="C81" i="83"/>
  <c r="C80" i="83"/>
  <c r="C79" i="83"/>
  <c r="G78" i="83"/>
  <c r="C78" i="83"/>
  <c r="G77" i="83"/>
  <c r="C77" i="83"/>
  <c r="G76" i="83"/>
  <c r="G75" i="83"/>
  <c r="G74" i="83"/>
  <c r="G73" i="83"/>
  <c r="G71" i="83"/>
  <c r="G69" i="83"/>
  <c r="G65" i="83"/>
  <c r="C65" i="83"/>
  <c r="G62" i="83"/>
  <c r="G61" i="83"/>
  <c r="G59" i="83"/>
  <c r="G58" i="83"/>
  <c r="G57" i="83"/>
  <c r="G56" i="83"/>
  <c r="G55" i="83"/>
  <c r="G54" i="83"/>
  <c r="C54" i="83"/>
  <c r="G53" i="83"/>
  <c r="C53" i="83"/>
  <c r="G51" i="83"/>
  <c r="C51" i="83"/>
  <c r="G49" i="83"/>
  <c r="C49" i="83"/>
  <c r="G48" i="83"/>
  <c r="C48" i="83"/>
  <c r="G47" i="83"/>
  <c r="C47" i="83"/>
  <c r="G46" i="83"/>
  <c r="C46" i="83"/>
  <c r="G45" i="83"/>
  <c r="C45" i="83"/>
  <c r="G42" i="83"/>
  <c r="C42" i="83"/>
  <c r="G41" i="83"/>
  <c r="C41" i="83"/>
  <c r="G40" i="83"/>
  <c r="C40" i="83"/>
  <c r="C39" i="83"/>
  <c r="C38" i="83"/>
  <c r="C37" i="83"/>
  <c r="G36" i="83"/>
  <c r="C36" i="83"/>
  <c r="G33" i="83"/>
  <c r="C33" i="83"/>
  <c r="G32" i="83"/>
  <c r="C32" i="83"/>
  <c r="G31" i="83"/>
  <c r="C31" i="83"/>
  <c r="G30" i="83"/>
  <c r="C30" i="83"/>
  <c r="G29" i="83"/>
  <c r="C29" i="83"/>
  <c r="G28" i="83"/>
  <c r="C28" i="83"/>
  <c r="G27" i="83"/>
  <c r="C27" i="83"/>
  <c r="G26" i="83"/>
  <c r="C26" i="83"/>
  <c r="G24" i="83"/>
  <c r="C24" i="83"/>
  <c r="G22" i="83"/>
  <c r="C22" i="83"/>
  <c r="G21" i="83"/>
  <c r="C21" i="83"/>
  <c r="G20" i="83"/>
  <c r="C20" i="83"/>
  <c r="G19" i="83"/>
  <c r="C19" i="83"/>
  <c r="G18" i="83"/>
  <c r="C18" i="83"/>
  <c r="G17" i="83"/>
  <c r="C17" i="83"/>
  <c r="G16" i="83"/>
  <c r="C16" i="83"/>
  <c r="C15" i="83"/>
  <c r="C14" i="83"/>
  <c r="E277" i="82"/>
  <c r="G300" i="40" s="1"/>
  <c r="H34" i="10" s="1"/>
  <c r="E276" i="82"/>
  <c r="G299" i="40" s="1"/>
  <c r="H33" i="10" s="1"/>
  <c r="E268" i="82"/>
  <c r="G291" i="40" s="1"/>
  <c r="H30" i="10" s="1"/>
  <c r="E267" i="82"/>
  <c r="G290" i="40" s="1"/>
  <c r="H29" i="10" s="1"/>
  <c r="E266" i="82"/>
  <c r="G289" i="40" s="1"/>
  <c r="E265" i="82"/>
  <c r="G288" i="40" s="1"/>
  <c r="E264" i="82"/>
  <c r="G287" i="40" s="1"/>
  <c r="E263" i="82"/>
  <c r="G286" i="40" s="1"/>
  <c r="E261" i="82"/>
  <c r="G284" i="40" s="1"/>
  <c r="E260" i="82"/>
  <c r="G283" i="40" s="1"/>
  <c r="E259" i="82"/>
  <c r="G282" i="40" s="1"/>
  <c r="E257" i="82"/>
  <c r="G280" i="40" s="1"/>
  <c r="E256" i="82"/>
  <c r="G279" i="40" s="1"/>
  <c r="E254" i="82"/>
  <c r="G277" i="40" s="1"/>
  <c r="E253" i="82"/>
  <c r="G276" i="40" s="1"/>
  <c r="E250" i="82"/>
  <c r="G273" i="40" s="1"/>
  <c r="E249" i="82"/>
  <c r="G272" i="40" s="1"/>
  <c r="E248" i="82"/>
  <c r="G271" i="40" s="1"/>
  <c r="E247" i="82"/>
  <c r="G270" i="40" s="1"/>
  <c r="E246" i="82"/>
  <c r="G269" i="40" s="1"/>
  <c r="E242" i="82"/>
  <c r="G265" i="40" s="1"/>
  <c r="E239" i="82"/>
  <c r="G262" i="40" s="1"/>
  <c r="E238" i="82"/>
  <c r="G261" i="40" s="1"/>
  <c r="E237" i="82"/>
  <c r="G260" i="40" s="1"/>
  <c r="E235" i="82"/>
  <c r="G258" i="40" s="1"/>
  <c r="E234" i="82"/>
  <c r="G257" i="40" s="1"/>
  <c r="E233" i="82"/>
  <c r="G256" i="40" s="1"/>
  <c r="E232" i="82"/>
  <c r="G255" i="40" s="1"/>
  <c r="E231" i="82"/>
  <c r="G254" i="40" s="1"/>
  <c r="E229" i="82"/>
  <c r="G252" i="40" s="1"/>
  <c r="E228" i="82"/>
  <c r="G251" i="40" s="1"/>
  <c r="E226" i="82"/>
  <c r="G249" i="40" s="1"/>
  <c r="E224" i="82"/>
  <c r="G247" i="40" s="1"/>
  <c r="E223" i="82"/>
  <c r="G246" i="40" s="1"/>
  <c r="E221" i="82"/>
  <c r="G244" i="40" s="1"/>
  <c r="E220" i="82"/>
  <c r="G243" i="40" s="1"/>
  <c r="E219" i="82"/>
  <c r="G242" i="40" s="1"/>
  <c r="E217" i="82"/>
  <c r="G240" i="40" s="1"/>
  <c r="E214" i="82"/>
  <c r="G237" i="40" s="1"/>
  <c r="E213" i="82"/>
  <c r="G236" i="40" s="1"/>
  <c r="E211" i="82"/>
  <c r="G234" i="40" s="1"/>
  <c r="E210" i="82"/>
  <c r="G233" i="40" s="1"/>
  <c r="E209" i="82"/>
  <c r="G232" i="40" s="1"/>
  <c r="E208" i="82"/>
  <c r="G231" i="40" s="1"/>
  <c r="E207" i="82"/>
  <c r="G230" i="40" s="1"/>
  <c r="E206" i="82"/>
  <c r="G229" i="40" s="1"/>
  <c r="E205" i="82"/>
  <c r="G228" i="40" s="1"/>
  <c r="E202" i="82"/>
  <c r="G225" i="40" s="1"/>
  <c r="E201" i="82"/>
  <c r="G224" i="40" s="1"/>
  <c r="E199" i="82"/>
  <c r="G222" i="40" s="1"/>
  <c r="E198" i="82"/>
  <c r="G221" i="40" s="1"/>
  <c r="E195" i="82"/>
  <c r="G218" i="40" s="1"/>
  <c r="E194" i="82"/>
  <c r="G217" i="40" s="1"/>
  <c r="E192" i="82"/>
  <c r="G215" i="40" s="1"/>
  <c r="E191" i="82"/>
  <c r="G214" i="40" s="1"/>
  <c r="E190" i="82"/>
  <c r="G213" i="40" s="1"/>
  <c r="E187" i="82"/>
  <c r="G210" i="40" s="1"/>
  <c r="E186" i="82"/>
  <c r="G209" i="40" s="1"/>
  <c r="E185" i="82"/>
  <c r="G208" i="40" s="1"/>
  <c r="E184" i="82"/>
  <c r="G207" i="40" s="1"/>
  <c r="E182" i="82"/>
  <c r="G205" i="40" s="1"/>
  <c r="E181" i="82"/>
  <c r="G204" i="40" s="1"/>
  <c r="E178" i="82"/>
  <c r="E177" i="82"/>
  <c r="G200" i="40" s="1"/>
  <c r="E176" i="82"/>
  <c r="G199" i="40" s="1"/>
  <c r="E174" i="82"/>
  <c r="G197" i="40" s="1"/>
  <c r="E173" i="82"/>
  <c r="G196" i="40" s="1"/>
  <c r="E171" i="82"/>
  <c r="G194" i="40" s="1"/>
  <c r="E170" i="82"/>
  <c r="G193" i="40" s="1"/>
  <c r="E168" i="82"/>
  <c r="E166" i="82"/>
  <c r="G189" i="40" s="1"/>
  <c r="E165" i="82"/>
  <c r="G188" i="40" s="1"/>
  <c r="E163" i="82"/>
  <c r="G186" i="40" s="1"/>
  <c r="E162" i="82"/>
  <c r="G185" i="40" s="1"/>
  <c r="E161" i="82"/>
  <c r="G184" i="40" s="1"/>
  <c r="E160" i="82"/>
  <c r="G183" i="40" s="1"/>
  <c r="E159" i="82"/>
  <c r="G182" i="40" s="1"/>
  <c r="E156" i="82"/>
  <c r="G179" i="40" s="1"/>
  <c r="E155" i="82"/>
  <c r="G178" i="40" s="1"/>
  <c r="E153" i="82"/>
  <c r="G176" i="40" s="1"/>
  <c r="E152" i="82"/>
  <c r="G175" i="40" s="1"/>
  <c r="E151" i="82"/>
  <c r="G174" i="40" s="1"/>
  <c r="E149" i="82"/>
  <c r="G172" i="40" s="1"/>
  <c r="E148" i="82"/>
  <c r="G171" i="40" s="1"/>
  <c r="E146" i="82"/>
  <c r="G169" i="40" s="1"/>
  <c r="E145" i="82"/>
  <c r="G168" i="40" s="1"/>
  <c r="E143" i="82"/>
  <c r="G166" i="40" s="1"/>
  <c r="E142" i="82"/>
  <c r="G165" i="40" s="1"/>
  <c r="E140" i="82"/>
  <c r="G163" i="40" s="1"/>
  <c r="E139" i="82"/>
  <c r="G162" i="40" s="1"/>
  <c r="E137" i="82"/>
  <c r="G160" i="40" s="1"/>
  <c r="E136" i="82"/>
  <c r="G159" i="40" s="1"/>
  <c r="E134" i="82"/>
  <c r="G157" i="40" s="1"/>
  <c r="E133" i="82"/>
  <c r="G156" i="40" s="1"/>
  <c r="E131" i="82"/>
  <c r="E129" i="82"/>
  <c r="G152" i="40" s="1"/>
  <c r="E127" i="82"/>
  <c r="G150" i="40" s="1"/>
  <c r="E126" i="82"/>
  <c r="G149" i="40" s="1"/>
  <c r="E123" i="82"/>
  <c r="G146" i="40" s="1"/>
  <c r="E122" i="82"/>
  <c r="G145" i="40" s="1"/>
  <c r="E120" i="82"/>
  <c r="G143" i="40" s="1"/>
  <c r="E119" i="82"/>
  <c r="G142" i="40" s="1"/>
  <c r="E118" i="82"/>
  <c r="G141" i="40" s="1"/>
  <c r="E117" i="82"/>
  <c r="G140" i="40" s="1"/>
  <c r="E116" i="82"/>
  <c r="G139" i="40" s="1"/>
  <c r="E112" i="82"/>
  <c r="E111" i="82"/>
  <c r="E110" i="82"/>
  <c r="E109" i="82"/>
  <c r="E107" i="82"/>
  <c r="G130" i="40" s="1"/>
  <c r="H11" i="10" s="1"/>
  <c r="E106" i="82"/>
  <c r="E105" i="82"/>
  <c r="E104" i="82"/>
  <c r="E103" i="82"/>
  <c r="E102" i="82"/>
  <c r="E98" i="82"/>
  <c r="E97" i="82"/>
  <c r="E95" i="82"/>
  <c r="E94" i="82"/>
  <c r="E93" i="82"/>
  <c r="E91" i="82"/>
  <c r="E90" i="82"/>
  <c r="E89" i="82"/>
  <c r="E87" i="82"/>
  <c r="E86" i="82"/>
  <c r="E82" i="82"/>
  <c r="E81" i="82"/>
  <c r="E78" i="82"/>
  <c r="E77" i="82"/>
  <c r="E76" i="82"/>
  <c r="E75" i="82"/>
  <c r="E74" i="82"/>
  <c r="E73" i="82"/>
  <c r="E71" i="82"/>
  <c r="E69" i="82"/>
  <c r="E65" i="82"/>
  <c r="E62" i="82"/>
  <c r="E61" i="82"/>
  <c r="E59" i="82"/>
  <c r="E58" i="82"/>
  <c r="E57" i="82"/>
  <c r="E56" i="82"/>
  <c r="E55" i="82"/>
  <c r="E54" i="82"/>
  <c r="E53" i="82"/>
  <c r="E51" i="82"/>
  <c r="E49" i="82"/>
  <c r="E48" i="82"/>
  <c r="E47" i="82"/>
  <c r="E46" i="82"/>
  <c r="E45" i="82"/>
  <c r="E42" i="82"/>
  <c r="E41" i="82"/>
  <c r="E40" i="82"/>
  <c r="E39" i="82"/>
  <c r="E36" i="82"/>
  <c r="E33" i="82"/>
  <c r="E32" i="82"/>
  <c r="E31" i="82"/>
  <c r="E30" i="82"/>
  <c r="E29" i="82"/>
  <c r="E28" i="82"/>
  <c r="E27" i="82"/>
  <c r="E26" i="82"/>
  <c r="E24" i="82"/>
  <c r="E22" i="82"/>
  <c r="E21" i="82"/>
  <c r="E20" i="82"/>
  <c r="E19" i="82"/>
  <c r="E18" i="82"/>
  <c r="E17" i="82"/>
  <c r="E16" i="82"/>
  <c r="C241" i="83" l="1"/>
  <c r="C72" i="83"/>
  <c r="C197" i="83"/>
  <c r="C218" i="83"/>
  <c r="C255" i="83"/>
  <c r="C67" i="82"/>
  <c r="C66" i="82" s="1"/>
  <c r="D12" i="83"/>
  <c r="C141" i="83"/>
  <c r="C271" i="83"/>
  <c r="C52" i="83"/>
  <c r="C132" i="83"/>
  <c r="C135" i="83"/>
  <c r="C154" i="83"/>
  <c r="C164" i="83"/>
  <c r="C172" i="83"/>
  <c r="C193" i="83"/>
  <c r="C204" i="83"/>
  <c r="C212" i="83"/>
  <c r="C236" i="83"/>
  <c r="C252" i="83"/>
  <c r="C258" i="83"/>
  <c r="C227" i="83"/>
  <c r="C200" i="83"/>
  <c r="E188" i="83"/>
  <c r="E167" i="83" s="1"/>
  <c r="C169" i="83"/>
  <c r="E157" i="83"/>
  <c r="E130" i="83" s="1"/>
  <c r="C144" i="83"/>
  <c r="C121" i="83"/>
  <c r="C64" i="83"/>
  <c r="C262" i="83"/>
  <c r="D251" i="83"/>
  <c r="C189" i="83"/>
  <c r="C183" i="83"/>
  <c r="C175" i="83"/>
  <c r="C150" i="83"/>
  <c r="E115" i="83"/>
  <c r="C125" i="83"/>
  <c r="C101" i="83"/>
  <c r="C60" i="83"/>
  <c r="E12" i="83"/>
  <c r="C12" i="83" s="1"/>
  <c r="E225" i="83"/>
  <c r="E222" i="83" s="1"/>
  <c r="E203" i="83" s="1"/>
  <c r="D115" i="83"/>
  <c r="D157" i="83"/>
  <c r="D130" i="83" s="1"/>
  <c r="E251" i="83"/>
  <c r="D188" i="83"/>
  <c r="D167" i="83" s="1"/>
  <c r="D225" i="83"/>
  <c r="D222" i="83" s="1"/>
  <c r="D203" i="83" s="1"/>
  <c r="E273" i="83"/>
  <c r="E272" i="83" s="1"/>
  <c r="D245" i="83"/>
  <c r="D244" i="83" s="1"/>
  <c r="D67" i="83"/>
  <c r="D66" i="83" s="1"/>
  <c r="E245" i="83"/>
  <c r="E244" i="83" s="1"/>
  <c r="D83" i="83"/>
  <c r="C83" i="83" s="1"/>
  <c r="C124" i="83"/>
  <c r="C83" i="82"/>
  <c r="C12" i="82"/>
  <c r="C269" i="82"/>
  <c r="C188" i="82"/>
  <c r="C167" i="82" s="1"/>
  <c r="C274" i="82"/>
  <c r="C115" i="82"/>
  <c r="C157" i="82"/>
  <c r="C130" i="82" s="1"/>
  <c r="C225" i="82"/>
  <c r="C222" i="82" s="1"/>
  <c r="C203" i="82" s="1"/>
  <c r="C245" i="82"/>
  <c r="C244" i="82" s="1"/>
  <c r="C158" i="83"/>
  <c r="C63" i="83"/>
  <c r="D99" i="83"/>
  <c r="D10" i="83" s="1"/>
  <c r="C10" i="83" s="1"/>
  <c r="C100" i="83"/>
  <c r="D273" i="83"/>
  <c r="C274" i="83"/>
  <c r="E67" i="83"/>
  <c r="E66" i="83" s="1"/>
  <c r="C68" i="83"/>
  <c r="D270" i="83"/>
  <c r="C99" i="82"/>
  <c r="C10" i="82" s="1"/>
  <c r="C251" i="82"/>
  <c r="E128" i="82"/>
  <c r="G151" i="40" s="1"/>
  <c r="G128" i="83"/>
  <c r="J151" i="40" s="1"/>
  <c r="G196" i="83"/>
  <c r="J219" i="40" s="1"/>
  <c r="E196" i="82"/>
  <c r="G219" i="40" s="1"/>
  <c r="G216" i="83"/>
  <c r="J239" i="40" s="1"/>
  <c r="E216" i="82"/>
  <c r="G239" i="40" s="1"/>
  <c r="G39" i="83"/>
  <c r="E70" i="82"/>
  <c r="G70" i="83"/>
  <c r="E240" i="82"/>
  <c r="G263" i="40" s="1"/>
  <c r="G240" i="83"/>
  <c r="J263" i="40" s="1"/>
  <c r="C251" i="83" l="1"/>
  <c r="C244" i="83"/>
  <c r="C245" i="83"/>
  <c r="C188" i="83"/>
  <c r="C115" i="83"/>
  <c r="C114" i="82"/>
  <c r="C113" i="82" s="1"/>
  <c r="C203" i="83"/>
  <c r="C225" i="83"/>
  <c r="C157" i="83"/>
  <c r="D114" i="83"/>
  <c r="D113" i="83" s="1"/>
  <c r="C222" i="83"/>
  <c r="C130" i="83"/>
  <c r="C167" i="83"/>
  <c r="C273" i="82"/>
  <c r="E114" i="83"/>
  <c r="C270" i="83"/>
  <c r="D269" i="83"/>
  <c r="C66" i="83"/>
  <c r="C273" i="83"/>
  <c r="D272" i="83"/>
  <c r="C272" i="83" s="1"/>
  <c r="C67" i="83"/>
  <c r="C99" i="83"/>
  <c r="E243" i="82"/>
  <c r="G266" i="40" s="1"/>
  <c r="G243" i="83"/>
  <c r="J266" i="40" s="1"/>
  <c r="E215" i="82"/>
  <c r="G238" i="40" s="1"/>
  <c r="G215" i="83"/>
  <c r="J238" i="40" s="1"/>
  <c r="G38" i="83"/>
  <c r="E38" i="82"/>
  <c r="C114" i="83" l="1"/>
  <c r="D44" i="83"/>
  <c r="D43" i="83" s="1"/>
  <c r="C44" i="82"/>
  <c r="C272" i="82"/>
  <c r="E113" i="83"/>
  <c r="E44" i="83"/>
  <c r="J67" i="40" s="1"/>
  <c r="C269" i="83"/>
  <c r="G85" i="83"/>
  <c r="E85" i="82"/>
  <c r="G37" i="83"/>
  <c r="E37" i="82"/>
  <c r="C43" i="82" l="1"/>
  <c r="C35" i="82" s="1"/>
  <c r="C34" i="82" s="1"/>
  <c r="C11" i="82" s="1"/>
  <c r="C9" i="82" s="1"/>
  <c r="G67" i="40"/>
  <c r="E43" i="83"/>
  <c r="E35" i="83" s="1"/>
  <c r="E34" i="83" s="1"/>
  <c r="E11" i="83" s="1"/>
  <c r="E9" i="83" s="1"/>
  <c r="C113" i="83"/>
  <c r="D35" i="83"/>
  <c r="C44" i="83"/>
  <c r="G15" i="83"/>
  <c r="E15" i="82"/>
  <c r="C108" i="82" l="1"/>
  <c r="C43" i="83"/>
  <c r="E108" i="83"/>
  <c r="C35" i="83"/>
  <c r="D34" i="83"/>
  <c r="D11" i="83" s="1"/>
  <c r="C11" i="83" s="1"/>
  <c r="G14" i="83"/>
  <c r="E14" i="82"/>
  <c r="C34" i="83" l="1"/>
  <c r="D108" i="83"/>
  <c r="C108" i="83" s="1"/>
  <c r="D9" i="83" l="1"/>
  <c r="C9" i="83" s="1"/>
  <c r="G79" i="83"/>
  <c r="E79" i="82"/>
  <c r="G278" i="40" l="1"/>
  <c r="I278" i="40"/>
  <c r="J278" i="40"/>
  <c r="E31" i="1" l="1"/>
  <c r="M275" i="40" l="1"/>
  <c r="J275" i="40"/>
  <c r="I275" i="40"/>
  <c r="G275" i="40"/>
  <c r="M187" i="40"/>
  <c r="J187" i="40"/>
  <c r="I187" i="40"/>
  <c r="G187" i="40"/>
  <c r="M158" i="40"/>
  <c r="J158" i="40"/>
  <c r="I158" i="40"/>
  <c r="G158" i="40"/>
  <c r="M181" i="40"/>
  <c r="J181" i="40"/>
  <c r="I181" i="40"/>
  <c r="G181" i="40"/>
  <c r="E84" i="1" l="1"/>
  <c r="E89" i="1" s="1"/>
  <c r="E79" i="1"/>
  <c r="E78" i="1"/>
  <c r="E75" i="1"/>
  <c r="E74" i="1"/>
  <c r="E73" i="1"/>
  <c r="E71" i="1"/>
  <c r="E69" i="1"/>
  <c r="E67" i="1"/>
  <c r="E66" i="1"/>
  <c r="E65" i="1"/>
  <c r="E63" i="1"/>
  <c r="E60" i="1"/>
  <c r="E59" i="1"/>
  <c r="E58" i="1"/>
  <c r="E57" i="1"/>
  <c r="E52" i="1"/>
  <c r="E47" i="1"/>
  <c r="E46" i="1"/>
  <c r="E44" i="1"/>
  <c r="E43" i="1"/>
  <c r="E39" i="1"/>
  <c r="E38" i="1"/>
  <c r="E37" i="1"/>
  <c r="E36" i="1"/>
  <c r="E35" i="1"/>
  <c r="E34" i="1"/>
  <c r="E33" i="1"/>
  <c r="E29" i="1"/>
  <c r="E26" i="1"/>
  <c r="E25" i="1"/>
  <c r="E23" i="1"/>
  <c r="E22" i="1"/>
  <c r="E21" i="1"/>
  <c r="E20" i="1"/>
  <c r="E19" i="1"/>
  <c r="E80" i="1" l="1"/>
  <c r="E49" i="1"/>
  <c r="E40" i="1"/>
  <c r="E61" i="1"/>
  <c r="E27" i="1"/>
  <c r="E53" i="1" l="1"/>
  <c r="E54" i="1" s="1"/>
  <c r="E81" i="1"/>
  <c r="H59" i="46"/>
  <c r="H90" i="46"/>
  <c r="F90" i="46"/>
  <c r="E90" i="46"/>
  <c r="C90" i="46"/>
  <c r="B90" i="46"/>
  <c r="F59" i="46"/>
  <c r="E59" i="46"/>
  <c r="C59" i="46"/>
  <c r="B59" i="46"/>
  <c r="F15" i="46"/>
  <c r="E15" i="46"/>
  <c r="C15" i="46"/>
  <c r="B15" i="46"/>
  <c r="H15" i="46"/>
  <c r="E82" i="1" l="1"/>
  <c r="C53" i="45"/>
  <c r="B53" i="45"/>
  <c r="C21" i="45"/>
  <c r="E31" i="45" l="1"/>
  <c r="C31" i="45"/>
  <c r="B31" i="45"/>
  <c r="D25" i="45"/>
  <c r="E51" i="45"/>
  <c r="E50" i="45"/>
  <c r="C51" i="45"/>
  <c r="B51" i="45"/>
  <c r="C50" i="45"/>
  <c r="B50" i="45"/>
  <c r="E38" i="45"/>
  <c r="C38" i="45"/>
  <c r="B38" i="45"/>
  <c r="F10" i="67" l="1"/>
  <c r="C95" i="40" l="1"/>
  <c r="D95" i="40"/>
  <c r="E115" i="40" l="1"/>
  <c r="E70" i="11" s="1"/>
  <c r="F115" i="40"/>
  <c r="F70" i="11" s="1"/>
  <c r="K117" i="40"/>
  <c r="I72" i="11" s="1"/>
  <c r="K118" i="40"/>
  <c r="I73" i="11" s="1"/>
  <c r="K116" i="40"/>
  <c r="I71" i="11" s="1"/>
  <c r="E93" i="37"/>
  <c r="E94" i="37"/>
  <c r="E95" i="37"/>
  <c r="D92" i="37"/>
  <c r="C92" i="37"/>
  <c r="H118" i="40"/>
  <c r="H73" i="11" s="1"/>
  <c r="H117" i="40"/>
  <c r="H72" i="11" s="1"/>
  <c r="H116" i="40"/>
  <c r="H71" i="11" s="1"/>
  <c r="M115" i="40"/>
  <c r="K70" i="11" s="1"/>
  <c r="J115" i="40"/>
  <c r="I115" i="40"/>
  <c r="G115" i="40"/>
  <c r="G70" i="11" s="1"/>
  <c r="D115" i="40"/>
  <c r="D70" i="11" s="1"/>
  <c r="C115" i="40"/>
  <c r="C70" i="11" s="1"/>
  <c r="E298" i="40"/>
  <c r="F298" i="40"/>
  <c r="K99" i="40"/>
  <c r="E76" i="37"/>
  <c r="H99" i="40"/>
  <c r="E95" i="40"/>
  <c r="E91" i="40" s="1"/>
  <c r="F95" i="40"/>
  <c r="F91" i="40" s="1"/>
  <c r="E261" i="37"/>
  <c r="K284" i="40" s="1"/>
  <c r="H284" i="40"/>
  <c r="H272" i="40"/>
  <c r="H273" i="40"/>
  <c r="E249" i="37"/>
  <c r="K272" i="40" s="1"/>
  <c r="E250" i="37"/>
  <c r="K273" i="40" s="1"/>
  <c r="E235" i="37"/>
  <c r="K258" i="40" s="1"/>
  <c r="J72" i="11" l="1"/>
  <c r="J73" i="11"/>
  <c r="J71" i="11"/>
  <c r="F92" i="83"/>
  <c r="G92" i="83" s="1"/>
  <c r="D92" i="82"/>
  <c r="E92" i="82" s="1"/>
  <c r="E92" i="37"/>
  <c r="L117" i="40"/>
  <c r="L118" i="40"/>
  <c r="H115" i="40"/>
  <c r="H70" i="11" s="1"/>
  <c r="L116" i="40"/>
  <c r="K115" i="40"/>
  <c r="I70" i="11" s="1"/>
  <c r="L99" i="40"/>
  <c r="L284" i="40"/>
  <c r="L273" i="40"/>
  <c r="L272" i="40"/>
  <c r="H247" i="40"/>
  <c r="E224" i="37"/>
  <c r="K247" i="40" s="1"/>
  <c r="J70" i="11" l="1"/>
  <c r="L247" i="40"/>
  <c r="L115" i="40"/>
  <c r="H258" i="40" l="1"/>
  <c r="M235" i="40"/>
  <c r="J235" i="40"/>
  <c r="I235" i="40"/>
  <c r="G235" i="40"/>
  <c r="H21" i="10" s="1"/>
  <c r="F235" i="40"/>
  <c r="E235" i="40"/>
  <c r="D235" i="40"/>
  <c r="C235" i="40"/>
  <c r="H240" i="40"/>
  <c r="E217" i="37"/>
  <c r="K240" i="40" s="1"/>
  <c r="D212" i="37"/>
  <c r="C212" i="37"/>
  <c r="H234" i="40"/>
  <c r="M227" i="40"/>
  <c r="J227" i="40"/>
  <c r="I227" i="40"/>
  <c r="G227" i="40"/>
  <c r="H20" i="10" s="1"/>
  <c r="F227" i="40"/>
  <c r="D227" i="40"/>
  <c r="C227" i="40"/>
  <c r="E227" i="40"/>
  <c r="D204" i="37"/>
  <c r="C204" i="37"/>
  <c r="E211" i="37"/>
  <c r="K234" i="40" s="1"/>
  <c r="B21" i="45"/>
  <c r="D212" i="82" l="1"/>
  <c r="E212" i="82" s="1"/>
  <c r="F212" i="83"/>
  <c r="G212" i="83" s="1"/>
  <c r="F204" i="83"/>
  <c r="G204" i="83" s="1"/>
  <c r="D204" i="82"/>
  <c r="E204" i="82" s="1"/>
  <c r="L240" i="40"/>
  <c r="L258" i="40"/>
  <c r="L234" i="40"/>
  <c r="D100" i="9"/>
  <c r="C100" i="9"/>
  <c r="F100" i="9"/>
  <c r="I109" i="9"/>
  <c r="I108" i="9" s="1"/>
  <c r="I107" i="9" s="1"/>
  <c r="I106" i="9" s="1"/>
  <c r="I105" i="9" s="1"/>
  <c r="I104" i="9" s="1"/>
  <c r="E108" i="9"/>
  <c r="E107" i="9"/>
  <c r="H106" i="9"/>
  <c r="G106" i="9"/>
  <c r="F106" i="9"/>
  <c r="D106" i="9"/>
  <c r="C106" i="9"/>
  <c r="E106" i="9" l="1"/>
  <c r="J106" i="9" s="1"/>
  <c r="J108" i="9"/>
  <c r="J107" i="9"/>
  <c r="C66" i="32"/>
  <c r="H60" i="22"/>
  <c r="H55" i="22"/>
  <c r="H42" i="22"/>
  <c r="H29" i="22"/>
  <c r="H25" i="22"/>
  <c r="H21" i="22"/>
  <c r="H17" i="22"/>
  <c r="H13" i="22"/>
  <c r="H38" i="22"/>
  <c r="H46" i="22"/>
  <c r="H50" i="22"/>
  <c r="H64" i="22"/>
  <c r="H10" i="67"/>
  <c r="E9" i="67"/>
  <c r="D9" i="67"/>
  <c r="C9" i="67"/>
  <c r="B9" i="67"/>
  <c r="F8" i="66"/>
  <c r="E8" i="66"/>
  <c r="D8" i="66"/>
  <c r="C8" i="66"/>
  <c r="B8" i="66"/>
  <c r="G9" i="66"/>
  <c r="I9" i="66" s="1"/>
  <c r="R300" i="40"/>
  <c r="R299" i="40"/>
  <c r="R291" i="40"/>
  <c r="R290" i="40"/>
  <c r="R289" i="40"/>
  <c r="R288" i="40"/>
  <c r="R287" i="40"/>
  <c r="R286" i="40"/>
  <c r="R283" i="40"/>
  <c r="R282" i="40"/>
  <c r="R280" i="40"/>
  <c r="R279" i="40"/>
  <c r="R277" i="40"/>
  <c r="R276" i="40"/>
  <c r="R271" i="40"/>
  <c r="R270" i="40"/>
  <c r="R269" i="40"/>
  <c r="R266" i="40"/>
  <c r="R265" i="40"/>
  <c r="R263" i="40"/>
  <c r="R262" i="40"/>
  <c r="R261" i="40"/>
  <c r="R260" i="40"/>
  <c r="R257" i="40"/>
  <c r="R256" i="40"/>
  <c r="R255" i="40"/>
  <c r="R254" i="40"/>
  <c r="R252" i="40"/>
  <c r="R251" i="40"/>
  <c r="R249" i="40"/>
  <c r="R246" i="40"/>
  <c r="R244" i="40"/>
  <c r="R243" i="40"/>
  <c r="R242" i="40"/>
  <c r="R239" i="40"/>
  <c r="R238" i="40"/>
  <c r="R237" i="40"/>
  <c r="R236" i="40"/>
  <c r="R235" i="40"/>
  <c r="R233" i="40"/>
  <c r="R232" i="40"/>
  <c r="R231" i="40"/>
  <c r="R230" i="40"/>
  <c r="R229" i="40"/>
  <c r="R228" i="40"/>
  <c r="R227" i="40"/>
  <c r="R225" i="40"/>
  <c r="R224" i="40"/>
  <c r="R222" i="40"/>
  <c r="R221" i="40"/>
  <c r="R219" i="40"/>
  <c r="R218" i="40"/>
  <c r="R217" i="40"/>
  <c r="R215" i="40"/>
  <c r="R214" i="40"/>
  <c r="R213" i="40"/>
  <c r="R210" i="40"/>
  <c r="R209" i="40"/>
  <c r="R208" i="40"/>
  <c r="R207" i="40"/>
  <c r="R205" i="40"/>
  <c r="R204" i="40"/>
  <c r="R201" i="40"/>
  <c r="R200" i="40"/>
  <c r="R199" i="40"/>
  <c r="R197" i="40"/>
  <c r="R196" i="40"/>
  <c r="R194" i="40"/>
  <c r="R193" i="40"/>
  <c r="R191" i="40"/>
  <c r="R189" i="40"/>
  <c r="R188" i="40"/>
  <c r="R186" i="40"/>
  <c r="R185" i="40"/>
  <c r="R184" i="40"/>
  <c r="R183" i="40"/>
  <c r="R182" i="40"/>
  <c r="R179" i="40"/>
  <c r="R178" i="40"/>
  <c r="R176" i="40"/>
  <c r="R175" i="40"/>
  <c r="R174" i="40"/>
  <c r="R172" i="40"/>
  <c r="R171" i="40"/>
  <c r="R169" i="40"/>
  <c r="R168" i="40"/>
  <c r="R166" i="40"/>
  <c r="R165" i="40"/>
  <c r="R163" i="40"/>
  <c r="R162" i="40"/>
  <c r="R160" i="40"/>
  <c r="R159" i="40"/>
  <c r="R157" i="40"/>
  <c r="R156" i="40"/>
  <c r="R152" i="40"/>
  <c r="R151" i="40"/>
  <c r="R150" i="40"/>
  <c r="R149" i="40"/>
  <c r="R146" i="40"/>
  <c r="R145" i="40"/>
  <c r="R143" i="40"/>
  <c r="R142" i="40"/>
  <c r="R141" i="40"/>
  <c r="R140" i="40"/>
  <c r="R139" i="40"/>
  <c r="R130" i="40"/>
  <c r="R129" i="40"/>
  <c r="R128" i="40"/>
  <c r="R127" i="40"/>
  <c r="R126" i="40"/>
  <c r="R125" i="40"/>
  <c r="R121" i="40"/>
  <c r="R120" i="40"/>
  <c r="R114" i="40"/>
  <c r="R113" i="40"/>
  <c r="R112" i="40"/>
  <c r="R110" i="40"/>
  <c r="R109" i="40"/>
  <c r="R108" i="40"/>
  <c r="R105" i="40"/>
  <c r="R104" i="40"/>
  <c r="R102" i="40"/>
  <c r="R101" i="40"/>
  <c r="R100" i="40"/>
  <c r="R98" i="40"/>
  <c r="R97" i="40"/>
  <c r="R96" i="40"/>
  <c r="R94" i="40"/>
  <c r="R93" i="40"/>
  <c r="R92" i="40"/>
  <c r="R88" i="40"/>
  <c r="R85" i="40"/>
  <c r="R84" i="40"/>
  <c r="R82" i="40"/>
  <c r="R81" i="40"/>
  <c r="R80" i="40"/>
  <c r="R79" i="40"/>
  <c r="R78" i="40"/>
  <c r="R77" i="40"/>
  <c r="R76" i="40"/>
  <c r="R74" i="40"/>
  <c r="R72" i="40"/>
  <c r="R71" i="40"/>
  <c r="R70" i="40"/>
  <c r="R69" i="40"/>
  <c r="R68" i="40"/>
  <c r="R65" i="40"/>
  <c r="R64" i="40"/>
  <c r="R63" i="40"/>
  <c r="R62" i="40"/>
  <c r="R61" i="40"/>
  <c r="R60" i="40"/>
  <c r="R59" i="40"/>
  <c r="R56" i="40"/>
  <c r="R55" i="40"/>
  <c r="R54" i="40"/>
  <c r="R53" i="40"/>
  <c r="R52" i="40"/>
  <c r="R51" i="40"/>
  <c r="R50" i="40"/>
  <c r="R49" i="40"/>
  <c r="R47" i="40"/>
  <c r="R45" i="40"/>
  <c r="R44" i="40"/>
  <c r="R43" i="40"/>
  <c r="R42" i="40"/>
  <c r="R41" i="40"/>
  <c r="R40" i="40"/>
  <c r="R39" i="40"/>
  <c r="R38" i="40"/>
  <c r="R37" i="40"/>
  <c r="P139" i="40" l="1"/>
  <c r="P140" i="40"/>
  <c r="P141" i="40"/>
  <c r="P142" i="40"/>
  <c r="P143" i="40"/>
  <c r="P145" i="40"/>
  <c r="P146" i="40"/>
  <c r="P149" i="40"/>
  <c r="P150" i="40"/>
  <c r="P151" i="40"/>
  <c r="P152" i="40"/>
  <c r="P156" i="40"/>
  <c r="P157" i="40"/>
  <c r="P159" i="40"/>
  <c r="P160" i="40"/>
  <c r="P162" i="40"/>
  <c r="P163" i="40"/>
  <c r="P165" i="40"/>
  <c r="P166" i="40"/>
  <c r="P168" i="40"/>
  <c r="P169" i="40"/>
  <c r="P171" i="40"/>
  <c r="P172" i="40"/>
  <c r="P174" i="40"/>
  <c r="P175" i="40"/>
  <c r="P176" i="40"/>
  <c r="P178" i="40"/>
  <c r="P179" i="40"/>
  <c r="P182" i="40"/>
  <c r="P183" i="40"/>
  <c r="P184" i="40"/>
  <c r="P185" i="40"/>
  <c r="P186" i="40"/>
  <c r="P188" i="40"/>
  <c r="P189" i="40"/>
  <c r="P191" i="40"/>
  <c r="P193" i="40"/>
  <c r="P194" i="40"/>
  <c r="P196" i="40"/>
  <c r="P197" i="40"/>
  <c r="P199" i="40"/>
  <c r="P200" i="40"/>
  <c r="P201" i="40"/>
  <c r="P204" i="40"/>
  <c r="P205" i="40"/>
  <c r="P207" i="40"/>
  <c r="P208" i="40"/>
  <c r="P209" i="40"/>
  <c r="P210" i="40"/>
  <c r="P213" i="40"/>
  <c r="P214" i="40"/>
  <c r="P215" i="40"/>
  <c r="P217" i="40"/>
  <c r="P218" i="40"/>
  <c r="P219" i="40"/>
  <c r="P221" i="40"/>
  <c r="P222" i="40"/>
  <c r="P224" i="40"/>
  <c r="P225" i="40"/>
  <c r="P228" i="40"/>
  <c r="P229" i="40"/>
  <c r="P230" i="40"/>
  <c r="P231" i="40"/>
  <c r="P232" i="40"/>
  <c r="P233" i="40"/>
  <c r="P236" i="40"/>
  <c r="P237" i="40"/>
  <c r="P238" i="40"/>
  <c r="P239" i="40"/>
  <c r="P242" i="40"/>
  <c r="P243" i="40"/>
  <c r="P244" i="40"/>
  <c r="P246" i="40"/>
  <c r="P249" i="40"/>
  <c r="P251" i="40"/>
  <c r="P252" i="40"/>
  <c r="P254" i="40"/>
  <c r="P255" i="40"/>
  <c r="P256" i="40"/>
  <c r="P257" i="40"/>
  <c r="P260" i="40"/>
  <c r="P261" i="40"/>
  <c r="P262" i="40"/>
  <c r="P263" i="40"/>
  <c r="P265" i="40"/>
  <c r="P266" i="40"/>
  <c r="P269" i="40"/>
  <c r="P270" i="40"/>
  <c r="P271" i="40"/>
  <c r="P276" i="40"/>
  <c r="P277" i="40"/>
  <c r="P279" i="40"/>
  <c r="P280" i="40"/>
  <c r="P282" i="40"/>
  <c r="P283" i="40"/>
  <c r="P286" i="40"/>
  <c r="P287" i="40"/>
  <c r="P288" i="40"/>
  <c r="P289" i="40"/>
  <c r="P290" i="40"/>
  <c r="P291" i="40"/>
  <c r="P299" i="40"/>
  <c r="P300" i="40"/>
  <c r="P130" i="40"/>
  <c r="P129" i="40"/>
  <c r="P128" i="40"/>
  <c r="P127" i="40"/>
  <c r="P126" i="40"/>
  <c r="P125" i="40"/>
  <c r="P121" i="40"/>
  <c r="P120" i="40"/>
  <c r="P114" i="40"/>
  <c r="P113" i="40"/>
  <c r="P112" i="40"/>
  <c r="P110" i="40"/>
  <c r="P109" i="40"/>
  <c r="P108" i="40"/>
  <c r="P105" i="40"/>
  <c r="P104" i="40"/>
  <c r="P102" i="40"/>
  <c r="P101" i="40"/>
  <c r="P100" i="40"/>
  <c r="P98" i="40"/>
  <c r="P97" i="40"/>
  <c r="P96" i="40"/>
  <c r="P94" i="40"/>
  <c r="P93" i="40"/>
  <c r="P92" i="40"/>
  <c r="P88" i="40"/>
  <c r="P85" i="40"/>
  <c r="P84" i="40"/>
  <c r="P82" i="40"/>
  <c r="P81" i="40"/>
  <c r="P80" i="40"/>
  <c r="P79" i="40"/>
  <c r="P78" i="40"/>
  <c r="P77" i="40"/>
  <c r="P76" i="40"/>
  <c r="P74" i="40"/>
  <c r="P72" i="40"/>
  <c r="P71" i="40"/>
  <c r="P70" i="40"/>
  <c r="P69" i="40"/>
  <c r="P68" i="40"/>
  <c r="P65" i="40"/>
  <c r="P64" i="40"/>
  <c r="P63" i="40"/>
  <c r="P62" i="40"/>
  <c r="P61" i="40"/>
  <c r="P60" i="40"/>
  <c r="P59" i="40"/>
  <c r="P56" i="40"/>
  <c r="P55" i="40"/>
  <c r="P54" i="40"/>
  <c r="P53" i="40"/>
  <c r="P52" i="40"/>
  <c r="P51" i="40"/>
  <c r="P50" i="40"/>
  <c r="P49" i="40"/>
  <c r="P47" i="40"/>
  <c r="P45" i="40"/>
  <c r="P44" i="40"/>
  <c r="P43" i="40"/>
  <c r="P42" i="40"/>
  <c r="P41" i="40"/>
  <c r="P40" i="40"/>
  <c r="P39" i="40"/>
  <c r="P38" i="40"/>
  <c r="P37" i="40"/>
  <c r="D275" i="40"/>
  <c r="E275" i="40"/>
  <c r="F275" i="40"/>
  <c r="J46" i="40"/>
  <c r="I46" i="40"/>
  <c r="G46" i="40"/>
  <c r="G20" i="11" s="1"/>
  <c r="G10" i="11" s="1"/>
  <c r="J95" i="40"/>
  <c r="J91" i="40" s="1"/>
  <c r="I95" i="40"/>
  <c r="I91" i="40" s="1"/>
  <c r="G95" i="40"/>
  <c r="G91" i="40" s="1"/>
  <c r="G60" i="11" s="1"/>
  <c r="H68" i="40"/>
  <c r="G155" i="40"/>
  <c r="H179" i="40"/>
  <c r="H218" i="40"/>
  <c r="H219" i="40"/>
  <c r="J253" i="40"/>
  <c r="I253" i="40"/>
  <c r="P275" i="40" l="1"/>
  <c r="C33" i="33"/>
  <c r="D159" i="58"/>
  <c r="C159" i="58"/>
  <c r="D131" i="58"/>
  <c r="C131" i="58"/>
  <c r="D76" i="58"/>
  <c r="C76" i="58"/>
  <c r="D67" i="58"/>
  <c r="C67" i="58"/>
  <c r="D26" i="58"/>
  <c r="C26" i="58"/>
  <c r="I100" i="9"/>
  <c r="G100" i="9"/>
  <c r="E101" i="9"/>
  <c r="D162" i="58" l="1"/>
  <c r="C162" i="58"/>
  <c r="H23" i="55" l="1"/>
  <c r="G16" i="55" l="1"/>
  <c r="E19" i="55"/>
  <c r="H20" i="55"/>
  <c r="E23" i="55"/>
  <c r="I20" i="55"/>
  <c r="G20" i="55"/>
  <c r="F20" i="55"/>
  <c r="D20" i="55"/>
  <c r="C20" i="55"/>
  <c r="G15" i="55" l="1"/>
  <c r="E20" i="55"/>
  <c r="J23" i="55"/>
  <c r="J20" i="55" l="1"/>
  <c r="H81" i="9" l="1"/>
  <c r="D28" i="14" l="1"/>
  <c r="E28" i="14"/>
  <c r="G93" i="9"/>
  <c r="J40" i="10" l="1"/>
  <c r="C15" i="72" l="1"/>
  <c r="E18" i="72"/>
  <c r="H19" i="55" s="1"/>
  <c r="H16" i="55" s="1"/>
  <c r="H15" i="55" s="1"/>
  <c r="E17" i="72"/>
  <c r="E16" i="72"/>
  <c r="C19" i="72"/>
  <c r="E19" i="72" s="1"/>
  <c r="C14" i="72" l="1"/>
  <c r="C51" i="32" l="1"/>
  <c r="B85" i="32"/>
  <c r="D66" i="63" l="1"/>
  <c r="T66" i="63" l="1"/>
  <c r="S66" i="63"/>
  <c r="R66" i="63"/>
  <c r="Q66" i="63"/>
  <c r="P66" i="63"/>
  <c r="O66" i="63"/>
  <c r="N66" i="63"/>
  <c r="M66" i="63"/>
  <c r="L66" i="63"/>
  <c r="K66" i="63"/>
  <c r="J66" i="63"/>
  <c r="I66" i="63"/>
  <c r="H66" i="63"/>
  <c r="G66" i="63"/>
  <c r="F66" i="63"/>
  <c r="E66" i="63"/>
  <c r="T66" i="64"/>
  <c r="S66" i="64"/>
  <c r="R66" i="64"/>
  <c r="Q66" i="64"/>
  <c r="P66" i="64"/>
  <c r="O66" i="64"/>
  <c r="N66" i="64"/>
  <c r="M66" i="64"/>
  <c r="L66" i="64"/>
  <c r="K66" i="64"/>
  <c r="J66" i="64"/>
  <c r="I66" i="64"/>
  <c r="G66" i="64"/>
  <c r="F66" i="64"/>
  <c r="E66" i="64"/>
  <c r="D66" i="64"/>
  <c r="Q64" i="7"/>
  <c r="F64" i="7"/>
  <c r="H64" i="7"/>
  <c r="I64" i="7"/>
  <c r="L64" i="7"/>
  <c r="M64" i="7"/>
  <c r="N64" i="7"/>
  <c r="O64" i="7"/>
  <c r="P64" i="7"/>
  <c r="B20" i="46" l="1"/>
  <c r="C20" i="46"/>
  <c r="E20" i="46"/>
  <c r="F20" i="46"/>
  <c r="F19" i="46"/>
  <c r="E19" i="46"/>
  <c r="C19" i="46"/>
  <c r="B19" i="46"/>
  <c r="F100" i="46"/>
  <c r="E100" i="46"/>
  <c r="F99" i="46"/>
  <c r="E99" i="46"/>
  <c r="B100" i="46"/>
  <c r="C100" i="46"/>
  <c r="C99" i="46"/>
  <c r="B99" i="46"/>
  <c r="D51" i="22" l="1"/>
  <c r="G51" i="22" s="1"/>
  <c r="F51" i="22"/>
  <c r="H51" i="22"/>
  <c r="A1" i="21" l="1"/>
  <c r="H48" i="37" l="1"/>
  <c r="U191" i="40" l="1"/>
  <c r="O191" i="40"/>
  <c r="S191" i="40"/>
  <c r="T191" i="40"/>
  <c r="M278" i="40"/>
  <c r="D278" i="40"/>
  <c r="E278" i="40"/>
  <c r="F278" i="40"/>
  <c r="C278" i="40"/>
  <c r="R278" i="40" s="1"/>
  <c r="D187" i="40"/>
  <c r="E187" i="40"/>
  <c r="P187" i="40" s="1"/>
  <c r="F187" i="40"/>
  <c r="C187" i="40"/>
  <c r="R187" i="40" s="1"/>
  <c r="D164" i="37"/>
  <c r="C164" i="37"/>
  <c r="E165" i="37"/>
  <c r="K188" i="40" s="1"/>
  <c r="E166" i="37"/>
  <c r="F164" i="83" l="1"/>
  <c r="G164" i="83" s="1"/>
  <c r="D164" i="82"/>
  <c r="E164" i="82" s="1"/>
  <c r="O188" i="40"/>
  <c r="K189" i="40"/>
  <c r="O189" i="40" s="1"/>
  <c r="E21" i="45"/>
  <c r="P278" i="40"/>
  <c r="S188" i="40"/>
  <c r="H188" i="40"/>
  <c r="H280" i="40"/>
  <c r="H189" i="40"/>
  <c r="D255" i="37"/>
  <c r="C255" i="37"/>
  <c r="E256" i="37"/>
  <c r="K279" i="40" s="1"/>
  <c r="O279" i="40" s="1"/>
  <c r="E257" i="37"/>
  <c r="K280" i="40" s="1"/>
  <c r="O280" i="40" s="1"/>
  <c r="F255" i="83" l="1"/>
  <c r="G255" i="83" s="1"/>
  <c r="D255" i="82"/>
  <c r="E255" i="82" s="1"/>
  <c r="L188" i="40"/>
  <c r="H187" i="40"/>
  <c r="S189" i="40"/>
  <c r="K187" i="40"/>
  <c r="T188" i="40"/>
  <c r="H279" i="40"/>
  <c r="S279" i="40"/>
  <c r="T280" i="40"/>
  <c r="L280" i="40"/>
  <c r="U280" i="40" s="1"/>
  <c r="S280" i="40"/>
  <c r="L189" i="40"/>
  <c r="U189" i="40" s="1"/>
  <c r="T189" i="40"/>
  <c r="C18" i="46"/>
  <c r="D18" i="46"/>
  <c r="E18" i="46"/>
  <c r="F18" i="46"/>
  <c r="G18" i="46"/>
  <c r="I18" i="46"/>
  <c r="J18" i="46"/>
  <c r="B18" i="46"/>
  <c r="H19" i="46"/>
  <c r="H20" i="46"/>
  <c r="C98" i="46"/>
  <c r="D98" i="46"/>
  <c r="E98" i="46"/>
  <c r="F98" i="46"/>
  <c r="G98" i="46"/>
  <c r="I98" i="46"/>
  <c r="J98" i="46"/>
  <c r="H99" i="46"/>
  <c r="H100" i="46"/>
  <c r="B98" i="46"/>
  <c r="T279" i="40" l="1"/>
  <c r="H278" i="40"/>
  <c r="U188" i="40"/>
  <c r="L187" i="40"/>
  <c r="L279" i="40"/>
  <c r="U279" i="40" s="1"/>
  <c r="H98" i="46"/>
  <c r="H18" i="46"/>
  <c r="A41" i="14"/>
  <c r="E14" i="55" l="1"/>
  <c r="C68" i="9"/>
  <c r="D68" i="9"/>
  <c r="M173" i="40"/>
  <c r="M250" i="40"/>
  <c r="L125" i="58" l="1"/>
  <c r="H65" i="9" l="1"/>
  <c r="B39" i="32" l="1"/>
  <c r="B56" i="32"/>
  <c r="I64" i="9" l="1"/>
  <c r="G64" i="9"/>
  <c r="F64" i="9"/>
  <c r="D64" i="9"/>
  <c r="E65" i="9"/>
  <c r="C64" i="9"/>
  <c r="E64" i="33"/>
  <c r="D63" i="33"/>
  <c r="C63" i="33"/>
  <c r="C210" i="75" l="1"/>
  <c r="C209" i="75"/>
  <c r="C208" i="75" s="1"/>
  <c r="C207" i="75" s="1"/>
  <c r="C202" i="75"/>
  <c r="C196" i="75"/>
  <c r="C192" i="75" s="1"/>
  <c r="C191" i="75" s="1"/>
  <c r="C190" i="75" s="1"/>
  <c r="C14" i="75" s="1"/>
  <c r="C189" i="75"/>
  <c r="C20" i="75" s="1"/>
  <c r="C181" i="75"/>
  <c r="C173" i="75"/>
  <c r="C172" i="75" s="1"/>
  <c r="C164" i="75"/>
  <c r="C157" i="75"/>
  <c r="C153" i="75"/>
  <c r="C148" i="75"/>
  <c r="C139" i="75"/>
  <c r="C128" i="75"/>
  <c r="C118" i="75" s="1"/>
  <c r="C112" i="75"/>
  <c r="C103" i="75" s="1"/>
  <c r="C96" i="75"/>
  <c r="C93" i="75" s="1"/>
  <c r="C82" i="75"/>
  <c r="C81" i="75" s="1"/>
  <c r="C77" i="75"/>
  <c r="C17" i="75" s="1"/>
  <c r="C75" i="75"/>
  <c r="C74" i="75" s="1"/>
  <c r="C13" i="75" s="1"/>
  <c r="C71" i="75"/>
  <c r="C63" i="75"/>
  <c r="C61" i="75"/>
  <c r="C38" i="75"/>
  <c r="C36" i="75"/>
  <c r="C26" i="75"/>
  <c r="C16" i="75"/>
  <c r="C171" i="75" l="1"/>
  <c r="C25" i="75"/>
  <c r="C11" i="75" s="1"/>
  <c r="C138" i="75"/>
  <c r="C92" i="75"/>
  <c r="C19" i="75"/>
  <c r="C80" i="75"/>
  <c r="C18" i="75" s="1"/>
  <c r="C206" i="75"/>
  <c r="C205" i="75" s="1"/>
  <c r="C15" i="75"/>
  <c r="B20" i="45"/>
  <c r="E57" i="45"/>
  <c r="C57" i="45"/>
  <c r="B57" i="45"/>
  <c r="B16" i="45"/>
  <c r="C16" i="45"/>
  <c r="C91" i="75" l="1"/>
  <c r="C55" i="75" s="1"/>
  <c r="C47" i="75" s="1"/>
  <c r="C46" i="75" s="1"/>
  <c r="C24" i="75" s="1"/>
  <c r="C23" i="75" s="1"/>
  <c r="C89" i="75" l="1"/>
  <c r="C12" i="75"/>
  <c r="C22" i="75" s="1"/>
  <c r="C21" i="75" s="1"/>
  <c r="B12" i="45"/>
  <c r="B13" i="45"/>
  <c r="B14" i="45"/>
  <c r="B15" i="45"/>
  <c r="B17" i="45"/>
  <c r="B18" i="45"/>
  <c r="B19" i="45"/>
  <c r="B22" i="45"/>
  <c r="B23" i="45"/>
  <c r="B24" i="45"/>
  <c r="B26" i="45"/>
  <c r="B27" i="45"/>
  <c r="B28" i="45"/>
  <c r="B29" i="45"/>
  <c r="B30" i="45"/>
  <c r="B33" i="45"/>
  <c r="B34" i="45"/>
  <c r="B35" i="45"/>
  <c r="B37" i="45"/>
  <c r="B39" i="45"/>
  <c r="B41" i="45"/>
  <c r="B42" i="45"/>
  <c r="B44" i="45"/>
  <c r="B45" i="45"/>
  <c r="B46" i="45"/>
  <c r="B47" i="45"/>
  <c r="B49" i="45"/>
  <c r="B52" i="45"/>
  <c r="B55" i="45"/>
  <c r="B56" i="45"/>
  <c r="C52" i="45"/>
  <c r="C47" i="45"/>
  <c r="C46" i="45"/>
  <c r="C42" i="45"/>
  <c r="C39" i="45"/>
  <c r="C35" i="45"/>
  <c r="C30" i="45"/>
  <c r="C24" i="45"/>
  <c r="C23" i="45"/>
  <c r="C22" i="45"/>
  <c r="C20" i="45"/>
  <c r="C18" i="45"/>
  <c r="C13" i="45"/>
  <c r="C12" i="45"/>
  <c r="E53" i="45"/>
  <c r="E52" i="45"/>
  <c r="E47" i="45"/>
  <c r="E46" i="45"/>
  <c r="E42" i="45"/>
  <c r="E39" i="45"/>
  <c r="E35" i="45"/>
  <c r="E30" i="45"/>
  <c r="E24" i="45"/>
  <c r="E23" i="45"/>
  <c r="E22" i="45"/>
  <c r="E20" i="45"/>
  <c r="E18" i="45"/>
  <c r="E16" i="45"/>
  <c r="E13" i="45"/>
  <c r="E12" i="45"/>
  <c r="C10" i="75" l="1"/>
  <c r="C9" i="75" s="1"/>
  <c r="B25" i="45"/>
  <c r="B32" i="45"/>
  <c r="B11" i="45"/>
  <c r="B48" i="45"/>
  <c r="B54" i="45"/>
  <c r="B43" i="45"/>
  <c r="B40" i="45"/>
  <c r="B36" i="45"/>
  <c r="D54" i="45"/>
  <c r="D48" i="45"/>
  <c r="D43" i="45"/>
  <c r="D40" i="45"/>
  <c r="D36" i="45"/>
  <c r="D32" i="45"/>
  <c r="C19" i="45"/>
  <c r="D19" i="45"/>
  <c r="E19" i="45"/>
  <c r="D11" i="45"/>
  <c r="B10" i="45" l="1"/>
  <c r="D10" i="45"/>
  <c r="C56" i="45"/>
  <c r="E56" i="45"/>
  <c r="H27" i="9" l="1"/>
  <c r="E26" i="33"/>
  <c r="D19" i="33"/>
  <c r="C19" i="33"/>
  <c r="D20" i="9"/>
  <c r="C20" i="9"/>
  <c r="I20" i="9"/>
  <c r="E27" i="9"/>
  <c r="F20" i="9"/>
  <c r="G20" i="9"/>
  <c r="J27" i="9" l="1"/>
  <c r="E20" i="9"/>
  <c r="M285" i="40"/>
  <c r="F285" i="40"/>
  <c r="E285" i="40"/>
  <c r="D285" i="40"/>
  <c r="C285" i="40"/>
  <c r="D262" i="37"/>
  <c r="C262" i="37"/>
  <c r="E266" i="37"/>
  <c r="K289" i="40" s="1"/>
  <c r="O289" i="40" s="1"/>
  <c r="F262" i="83" l="1"/>
  <c r="G262" i="83" s="1"/>
  <c r="D262" i="82"/>
  <c r="E262" i="82" s="1"/>
  <c r="S289" i="40"/>
  <c r="H289" i="40" l="1"/>
  <c r="E23" i="27"/>
  <c r="E22" i="27"/>
  <c r="E21" i="27"/>
  <c r="E20" i="27"/>
  <c r="E18" i="27"/>
  <c r="E19" i="27"/>
  <c r="L289" i="40" l="1"/>
  <c r="U289" i="40" s="1"/>
  <c r="T289" i="40"/>
  <c r="F131" i="58"/>
  <c r="E131" i="58"/>
  <c r="D37" i="2" l="1"/>
  <c r="F177" i="40" l="1"/>
  <c r="E177" i="40"/>
  <c r="D177" i="40"/>
  <c r="C177" i="40"/>
  <c r="F281" i="40"/>
  <c r="E281" i="40"/>
  <c r="D281" i="40"/>
  <c r="C281" i="40"/>
  <c r="F181" i="40"/>
  <c r="E181" i="40"/>
  <c r="P181" i="40" s="1"/>
  <c r="D181" i="40"/>
  <c r="C181" i="40"/>
  <c r="R181" i="40" s="1"/>
  <c r="F253" i="40"/>
  <c r="E253" i="40"/>
  <c r="D253" i="40"/>
  <c r="C253" i="40"/>
  <c r="E250" i="40"/>
  <c r="F250" i="40"/>
  <c r="C220" i="40"/>
  <c r="C216" i="40"/>
  <c r="D216" i="40"/>
  <c r="E216" i="40"/>
  <c r="F216" i="40"/>
  <c r="D268" i="40" l="1"/>
  <c r="D274" i="40"/>
  <c r="E268" i="40"/>
  <c r="E274" i="40"/>
  <c r="F268" i="40"/>
  <c r="F274" i="40"/>
  <c r="D248" i="40"/>
  <c r="D245" i="40" s="1"/>
  <c r="E248" i="40"/>
  <c r="E245" i="40" s="1"/>
  <c r="C248" i="40"/>
  <c r="C245" i="40" s="1"/>
  <c r="R253" i="40"/>
  <c r="F248" i="40"/>
  <c r="F245" i="40" s="1"/>
  <c r="E24" i="4"/>
  <c r="I21" i="76"/>
  <c r="D92" i="46" l="1"/>
  <c r="D91" i="46" s="1"/>
  <c r="G92" i="46"/>
  <c r="G91" i="46" s="1"/>
  <c r="I92" i="46"/>
  <c r="I91" i="46" s="1"/>
  <c r="J92" i="46"/>
  <c r="J91" i="46" s="1"/>
  <c r="D87" i="46"/>
  <c r="G87" i="46"/>
  <c r="I87" i="46"/>
  <c r="J87" i="46"/>
  <c r="D83" i="46"/>
  <c r="G83" i="46"/>
  <c r="I83" i="46"/>
  <c r="J83" i="46"/>
  <c r="D80" i="46"/>
  <c r="G80" i="46"/>
  <c r="I80" i="46"/>
  <c r="J80" i="46"/>
  <c r="D77" i="46"/>
  <c r="G77" i="46"/>
  <c r="I77" i="46"/>
  <c r="J77" i="46"/>
  <c r="D71" i="46"/>
  <c r="G71" i="46"/>
  <c r="I71" i="46"/>
  <c r="J71" i="46"/>
  <c r="D68" i="46"/>
  <c r="G68" i="46"/>
  <c r="I68" i="46"/>
  <c r="J68" i="46"/>
  <c r="D65" i="46"/>
  <c r="G65" i="46"/>
  <c r="I65" i="46"/>
  <c r="J65" i="46"/>
  <c r="D61" i="46"/>
  <c r="D60" i="46" s="1"/>
  <c r="G61" i="46"/>
  <c r="G60" i="46" s="1"/>
  <c r="I61" i="46"/>
  <c r="I60" i="46" s="1"/>
  <c r="J61" i="46"/>
  <c r="J60" i="46" s="1"/>
  <c r="D55" i="46"/>
  <c r="G55" i="46"/>
  <c r="I55" i="46"/>
  <c r="J55" i="46"/>
  <c r="D52" i="46"/>
  <c r="G52" i="46"/>
  <c r="I52" i="46"/>
  <c r="J52" i="46"/>
  <c r="D46" i="46"/>
  <c r="D45" i="46" s="1"/>
  <c r="G46" i="46"/>
  <c r="G45" i="46" s="1"/>
  <c r="I46" i="46"/>
  <c r="I45" i="46" s="1"/>
  <c r="J46" i="46"/>
  <c r="J45" i="46" s="1"/>
  <c r="D42" i="46"/>
  <c r="G42" i="46"/>
  <c r="I42" i="46"/>
  <c r="J42" i="46"/>
  <c r="D39" i="46"/>
  <c r="G39" i="46"/>
  <c r="I39" i="46"/>
  <c r="J39" i="46"/>
  <c r="D36" i="46"/>
  <c r="G36" i="46"/>
  <c r="I36" i="46"/>
  <c r="J36" i="46"/>
  <c r="D33" i="46"/>
  <c r="G33" i="46"/>
  <c r="I33" i="46"/>
  <c r="J33" i="46"/>
  <c r="D29" i="46"/>
  <c r="G29" i="46"/>
  <c r="I29" i="46"/>
  <c r="J29" i="46"/>
  <c r="D25" i="46"/>
  <c r="G25" i="46"/>
  <c r="I25" i="46"/>
  <c r="J25" i="46"/>
  <c r="D21" i="46"/>
  <c r="D17" i="46" s="1"/>
  <c r="G21" i="46"/>
  <c r="G17" i="46" s="1"/>
  <c r="I21" i="46"/>
  <c r="I17" i="46" s="1"/>
  <c r="J21" i="46"/>
  <c r="J17" i="46" s="1"/>
  <c r="J32" i="46" l="1"/>
  <c r="G32" i="46"/>
  <c r="I32" i="46"/>
  <c r="D32" i="46"/>
  <c r="I11" i="46"/>
  <c r="D11" i="46"/>
  <c r="G11" i="46"/>
  <c r="J11" i="46"/>
  <c r="H48" i="46" l="1"/>
  <c r="F48" i="46"/>
  <c r="E48" i="46"/>
  <c r="C48" i="46"/>
  <c r="B48" i="46"/>
  <c r="C173" i="40" l="1"/>
  <c r="E152" i="37"/>
  <c r="K175" i="40" s="1"/>
  <c r="O175" i="40" s="1"/>
  <c r="D150" i="37"/>
  <c r="C150" i="37"/>
  <c r="F173" i="40"/>
  <c r="E173" i="40"/>
  <c r="D173" i="40"/>
  <c r="F150" i="83" l="1"/>
  <c r="G150" i="83" s="1"/>
  <c r="D150" i="82"/>
  <c r="E150" i="82" s="1"/>
  <c r="H175" i="40"/>
  <c r="T175" i="40" s="1"/>
  <c r="S175" i="40" l="1"/>
  <c r="L175" i="40"/>
  <c r="U175" i="40" s="1"/>
  <c r="H94" i="46"/>
  <c r="H93" i="46"/>
  <c r="N93" i="46" s="1"/>
  <c r="F93" i="46"/>
  <c r="H89" i="46"/>
  <c r="N89" i="46" s="1"/>
  <c r="F89" i="46"/>
  <c r="M89" i="46" s="1"/>
  <c r="E89" i="46"/>
  <c r="L89" i="46" s="1"/>
  <c r="C89" i="46"/>
  <c r="B89" i="46"/>
  <c r="K89" i="46" s="1"/>
  <c r="H88" i="46"/>
  <c r="F88" i="46"/>
  <c r="E88" i="46"/>
  <c r="C88" i="46"/>
  <c r="B88" i="46"/>
  <c r="K88" i="46" s="1"/>
  <c r="H85" i="46"/>
  <c r="N85" i="46" s="1"/>
  <c r="F85" i="46"/>
  <c r="M85" i="46" s="1"/>
  <c r="E85" i="46"/>
  <c r="L85" i="46" s="1"/>
  <c r="C85" i="46"/>
  <c r="B85" i="46"/>
  <c r="K85" i="46" s="1"/>
  <c r="H84" i="46"/>
  <c r="F84" i="46"/>
  <c r="E84" i="46"/>
  <c r="C84" i="46"/>
  <c r="B84" i="46"/>
  <c r="K84" i="46" s="1"/>
  <c r="H82" i="46"/>
  <c r="F82" i="46"/>
  <c r="E82" i="46"/>
  <c r="C82" i="46"/>
  <c r="B82" i="46"/>
  <c r="H81" i="46"/>
  <c r="F81" i="46"/>
  <c r="E81" i="46"/>
  <c r="C81" i="46"/>
  <c r="B81" i="46"/>
  <c r="H79" i="46"/>
  <c r="F79" i="46"/>
  <c r="E79" i="46"/>
  <c r="C79" i="46"/>
  <c r="B79" i="46"/>
  <c r="H78" i="46"/>
  <c r="F78" i="46"/>
  <c r="E78" i="46"/>
  <c r="C78" i="46"/>
  <c r="B78" i="46"/>
  <c r="H73" i="46"/>
  <c r="F73" i="46"/>
  <c r="E73" i="46"/>
  <c r="C73" i="46"/>
  <c r="B73" i="46"/>
  <c r="H72" i="46"/>
  <c r="F72" i="46"/>
  <c r="E72" i="46"/>
  <c r="C72" i="46"/>
  <c r="B72" i="46"/>
  <c r="H70" i="46"/>
  <c r="F70" i="46"/>
  <c r="E70" i="46"/>
  <c r="C70" i="46"/>
  <c r="B70" i="46"/>
  <c r="H69" i="46"/>
  <c r="F69" i="46"/>
  <c r="E69" i="46"/>
  <c r="C69" i="46"/>
  <c r="B69" i="46"/>
  <c r="H67" i="46"/>
  <c r="F67" i="46"/>
  <c r="E67" i="46"/>
  <c r="C67" i="46"/>
  <c r="B67" i="46"/>
  <c r="H66" i="46"/>
  <c r="F66" i="46"/>
  <c r="E66" i="46"/>
  <c r="C66" i="46"/>
  <c r="B66" i="46"/>
  <c r="H63" i="46"/>
  <c r="F63" i="46"/>
  <c r="E63" i="46"/>
  <c r="C63" i="46"/>
  <c r="B63" i="46"/>
  <c r="H62" i="46"/>
  <c r="F62" i="46"/>
  <c r="E62" i="46"/>
  <c r="C62" i="46"/>
  <c r="B62" i="46"/>
  <c r="H57" i="46"/>
  <c r="N57" i="46" s="1"/>
  <c r="F57" i="46"/>
  <c r="M57" i="46" s="1"/>
  <c r="E57" i="46"/>
  <c r="L57" i="46" s="1"/>
  <c r="C57" i="46"/>
  <c r="B57" i="46"/>
  <c r="K57" i="46" s="1"/>
  <c r="H56" i="46"/>
  <c r="F56" i="46"/>
  <c r="E56" i="46"/>
  <c r="C56" i="46"/>
  <c r="B56" i="46"/>
  <c r="K56" i="46" s="1"/>
  <c r="H54" i="46"/>
  <c r="N54" i="46" s="1"/>
  <c r="F54" i="46"/>
  <c r="M54" i="46" s="1"/>
  <c r="E54" i="46"/>
  <c r="L54" i="46" s="1"/>
  <c r="C54" i="46"/>
  <c r="B54" i="46"/>
  <c r="K54" i="46" s="1"/>
  <c r="H53" i="46"/>
  <c r="F53" i="46"/>
  <c r="E53" i="46"/>
  <c r="C53" i="46"/>
  <c r="B53" i="46"/>
  <c r="K53" i="46" s="1"/>
  <c r="H49" i="46"/>
  <c r="F49" i="46"/>
  <c r="E49" i="46"/>
  <c r="C49" i="46"/>
  <c r="B49" i="46"/>
  <c r="H47" i="46"/>
  <c r="F47" i="46"/>
  <c r="E47" i="46"/>
  <c r="C47" i="46"/>
  <c r="B47" i="46"/>
  <c r="H44" i="46"/>
  <c r="F44" i="46"/>
  <c r="E44" i="46"/>
  <c r="C44" i="46"/>
  <c r="B44" i="46"/>
  <c r="H43" i="46"/>
  <c r="F43" i="46"/>
  <c r="E43" i="46"/>
  <c r="C43" i="46"/>
  <c r="B43" i="46"/>
  <c r="H41" i="46"/>
  <c r="N41" i="46" s="1"/>
  <c r="F41" i="46"/>
  <c r="M41" i="46" s="1"/>
  <c r="E41" i="46"/>
  <c r="L41" i="46" s="1"/>
  <c r="C41" i="46"/>
  <c r="B41" i="46"/>
  <c r="K41" i="46" s="1"/>
  <c r="H40" i="46"/>
  <c r="F40" i="46"/>
  <c r="E40" i="46"/>
  <c r="C40" i="46"/>
  <c r="B40" i="46"/>
  <c r="K40" i="46" s="1"/>
  <c r="H38" i="46"/>
  <c r="F38" i="46"/>
  <c r="E38" i="46"/>
  <c r="C38" i="46"/>
  <c r="B38" i="46"/>
  <c r="H37" i="46"/>
  <c r="F37" i="46"/>
  <c r="E37" i="46"/>
  <c r="C37" i="46"/>
  <c r="B37" i="46"/>
  <c r="H35" i="46"/>
  <c r="F35" i="46"/>
  <c r="E35" i="46"/>
  <c r="C35" i="46"/>
  <c r="B35" i="46"/>
  <c r="H34" i="46"/>
  <c r="F34" i="46"/>
  <c r="E34" i="46"/>
  <c r="C34" i="46"/>
  <c r="B34" i="46"/>
  <c r="H31" i="46"/>
  <c r="F31" i="46"/>
  <c r="E31" i="46"/>
  <c r="C31" i="46"/>
  <c r="B31" i="46"/>
  <c r="H30" i="46"/>
  <c r="F30" i="46"/>
  <c r="E30" i="46"/>
  <c r="C30" i="46"/>
  <c r="B30" i="46"/>
  <c r="H27" i="46"/>
  <c r="F27" i="46"/>
  <c r="E27" i="46"/>
  <c r="C27" i="46"/>
  <c r="B27" i="46"/>
  <c r="H26" i="46"/>
  <c r="F26" i="46"/>
  <c r="E26" i="46"/>
  <c r="C26" i="46"/>
  <c r="B26" i="46"/>
  <c r="H23" i="46"/>
  <c r="F23" i="46"/>
  <c r="E23" i="46"/>
  <c r="C23" i="46"/>
  <c r="B23" i="46"/>
  <c r="H22" i="46"/>
  <c r="F22" i="46"/>
  <c r="E22" i="46"/>
  <c r="C22" i="46"/>
  <c r="B22" i="46"/>
  <c r="H25" i="46" l="1"/>
  <c r="H33" i="46"/>
  <c r="H46" i="46"/>
  <c r="H71" i="46"/>
  <c r="H80" i="46"/>
  <c r="C21" i="46"/>
  <c r="F25" i="46"/>
  <c r="C42" i="46"/>
  <c r="F46" i="46"/>
  <c r="C68" i="46"/>
  <c r="H21" i="46"/>
  <c r="H29" i="46"/>
  <c r="H42" i="46"/>
  <c r="H68" i="46"/>
  <c r="H77" i="46"/>
  <c r="C25" i="46"/>
  <c r="E46" i="46"/>
  <c r="E65" i="46"/>
  <c r="E71" i="46"/>
  <c r="E68" i="46"/>
  <c r="E77" i="46"/>
  <c r="B46" i="46"/>
  <c r="E42" i="46"/>
  <c r="E29" i="46"/>
  <c r="E21" i="46"/>
  <c r="F71" i="46"/>
  <c r="F77" i="46"/>
  <c r="C71" i="46"/>
  <c r="C46" i="46"/>
  <c r="F42" i="46"/>
  <c r="F29" i="46"/>
  <c r="F21" i="46"/>
  <c r="E25" i="46"/>
  <c r="C39" i="46"/>
  <c r="H52" i="46"/>
  <c r="N53" i="46"/>
  <c r="E52" i="46"/>
  <c r="L53" i="46"/>
  <c r="C65" i="46"/>
  <c r="F68" i="46"/>
  <c r="C87" i="46"/>
  <c r="M93" i="46"/>
  <c r="L40" i="46"/>
  <c r="E39" i="46"/>
  <c r="E87" i="46"/>
  <c r="L88" i="46"/>
  <c r="C36" i="46"/>
  <c r="M40" i="46"/>
  <c r="F39" i="46"/>
  <c r="C61" i="46"/>
  <c r="F65" i="46"/>
  <c r="C83" i="46"/>
  <c r="F87" i="46"/>
  <c r="M88" i="46"/>
  <c r="H55" i="46"/>
  <c r="N56" i="46"/>
  <c r="E36" i="46"/>
  <c r="N40" i="46"/>
  <c r="H39" i="46"/>
  <c r="E61" i="46"/>
  <c r="H65" i="46"/>
  <c r="E83" i="46"/>
  <c r="L84" i="46"/>
  <c r="H87" i="46"/>
  <c r="N88" i="46"/>
  <c r="F52" i="46"/>
  <c r="M53" i="46"/>
  <c r="C33" i="46"/>
  <c r="F36" i="46"/>
  <c r="C55" i="46"/>
  <c r="F61" i="46"/>
  <c r="C80" i="46"/>
  <c r="F83" i="46"/>
  <c r="M84" i="46"/>
  <c r="E33" i="46"/>
  <c r="H61" i="46"/>
  <c r="E80" i="46"/>
  <c r="H83" i="46"/>
  <c r="N84" i="46"/>
  <c r="H36" i="46"/>
  <c r="E55" i="46"/>
  <c r="L56" i="46"/>
  <c r="C29" i="46"/>
  <c r="F33" i="46"/>
  <c r="C52" i="46"/>
  <c r="F55" i="46"/>
  <c r="M56" i="46"/>
  <c r="C77" i="46"/>
  <c r="F80" i="46"/>
  <c r="H92" i="46"/>
  <c r="N94" i="46"/>
  <c r="B80" i="46"/>
  <c r="B87" i="46"/>
  <c r="B77" i="46"/>
  <c r="B71" i="46"/>
  <c r="B83" i="46"/>
  <c r="B68" i="46"/>
  <c r="B65" i="46"/>
  <c r="B61" i="46"/>
  <c r="B52" i="46"/>
  <c r="B55" i="46"/>
  <c r="B42" i="46"/>
  <c r="B25" i="46"/>
  <c r="B33" i="46"/>
  <c r="B36" i="46"/>
  <c r="B39" i="46"/>
  <c r="B29" i="46"/>
  <c r="B21" i="46"/>
  <c r="H32" i="46" l="1"/>
  <c r="C32" i="46"/>
  <c r="F32" i="46"/>
  <c r="E32" i="46"/>
  <c r="B14" i="46"/>
  <c r="C14" i="46"/>
  <c r="E14" i="46"/>
  <c r="F14" i="46"/>
  <c r="H14" i="46"/>
  <c r="C13" i="46" l="1"/>
  <c r="C12" i="46"/>
  <c r="B12" i="46"/>
  <c r="H13" i="46"/>
  <c r="F13" i="46"/>
  <c r="E13" i="46"/>
  <c r="B13" i="46"/>
  <c r="H12" i="46"/>
  <c r="F12" i="46"/>
  <c r="F11" i="46" s="1"/>
  <c r="E12" i="46"/>
  <c r="C11" i="46" l="1"/>
  <c r="E11" i="46"/>
  <c r="H11" i="46"/>
  <c r="B11" i="46"/>
  <c r="C94" i="46" l="1"/>
  <c r="B94" i="46"/>
  <c r="K94" i="46" s="1"/>
  <c r="C93" i="46"/>
  <c r="B93" i="46"/>
  <c r="C92" i="46" l="1"/>
  <c r="K93" i="46"/>
  <c r="B92" i="46"/>
  <c r="M198" i="40"/>
  <c r="M195" i="40"/>
  <c r="M192" i="40"/>
  <c r="I154" i="40" l="1"/>
  <c r="G154" i="40"/>
  <c r="P154" i="40" s="1"/>
  <c r="I173" i="40" l="1"/>
  <c r="D101" i="37" l="1"/>
  <c r="C101" i="37"/>
  <c r="C100" i="37" s="1"/>
  <c r="C99" i="37" s="1"/>
  <c r="D121" i="37"/>
  <c r="C121" i="37"/>
  <c r="D125" i="37"/>
  <c r="C125" i="37"/>
  <c r="F121" i="83" l="1"/>
  <c r="G121" i="83" s="1"/>
  <c r="D121" i="82"/>
  <c r="E121" i="82" s="1"/>
  <c r="D125" i="82"/>
  <c r="E125" i="82" s="1"/>
  <c r="F125" i="83"/>
  <c r="G125" i="83" s="1"/>
  <c r="D100" i="37"/>
  <c r="F101" i="83"/>
  <c r="G101" i="83" s="1"/>
  <c r="D101" i="82"/>
  <c r="E101" i="82" s="1"/>
  <c r="H200" i="40"/>
  <c r="H146" i="40"/>
  <c r="H169" i="40"/>
  <c r="H176" i="40"/>
  <c r="H283" i="40"/>
  <c r="H145" i="40"/>
  <c r="H214" i="40"/>
  <c r="H140" i="40"/>
  <c r="H149" i="40"/>
  <c r="H157" i="40"/>
  <c r="H163" i="40"/>
  <c r="H171" i="40"/>
  <c r="H197" i="40"/>
  <c r="H225" i="40"/>
  <c r="H251" i="40"/>
  <c r="H159" i="40"/>
  <c r="H165" i="40"/>
  <c r="G173" i="40"/>
  <c r="P173" i="40" s="1"/>
  <c r="D99" i="37" l="1"/>
  <c r="F100" i="83"/>
  <c r="G100" i="83" s="1"/>
  <c r="D100" i="82"/>
  <c r="E100" i="82" s="1"/>
  <c r="H271" i="40"/>
  <c r="H252" i="40"/>
  <c r="H150" i="40"/>
  <c r="H162" i="40"/>
  <c r="H263" i="40"/>
  <c r="H193" i="40"/>
  <c r="H141" i="40"/>
  <c r="H224" i="40"/>
  <c r="H183" i="40"/>
  <c r="H255" i="40"/>
  <c r="H233" i="40"/>
  <c r="H199" i="40"/>
  <c r="H217" i="40"/>
  <c r="H160" i="40"/>
  <c r="H158" i="40" s="1"/>
  <c r="H166" i="40"/>
  <c r="H194" i="40"/>
  <c r="H172" i="40"/>
  <c r="H213" i="40"/>
  <c r="H168" i="40"/>
  <c r="H196" i="40"/>
  <c r="J173" i="40"/>
  <c r="R173" i="40" s="1"/>
  <c r="H221" i="40"/>
  <c r="H254" i="40"/>
  <c r="H277" i="40"/>
  <c r="H244" i="40"/>
  <c r="H276" i="40"/>
  <c r="H239" i="40"/>
  <c r="H156" i="40"/>
  <c r="H282" i="40"/>
  <c r="H182" i="40"/>
  <c r="H266" i="40"/>
  <c r="H265" i="40"/>
  <c r="H288" i="40"/>
  <c r="H222" i="40"/>
  <c r="H208" i="40"/>
  <c r="H207" i="40"/>
  <c r="H178" i="40"/>
  <c r="H174" i="40"/>
  <c r="D132" i="37"/>
  <c r="C132" i="37"/>
  <c r="D135" i="37"/>
  <c r="C135" i="37"/>
  <c r="D138" i="37"/>
  <c r="C138" i="37"/>
  <c r="D141" i="37"/>
  <c r="C141" i="37"/>
  <c r="D144" i="37"/>
  <c r="C144" i="37"/>
  <c r="D147" i="37"/>
  <c r="C147" i="37"/>
  <c r="D154" i="37"/>
  <c r="C154" i="37"/>
  <c r="D158" i="37"/>
  <c r="C158" i="37"/>
  <c r="D169" i="37"/>
  <c r="C169" i="37"/>
  <c r="D172" i="37"/>
  <c r="C172" i="37"/>
  <c r="F147" i="83" l="1"/>
  <c r="G147" i="83" s="1"/>
  <c r="D147" i="82"/>
  <c r="E147" i="82" s="1"/>
  <c r="F172" i="83"/>
  <c r="G172" i="83" s="1"/>
  <c r="D172" i="82"/>
  <c r="E172" i="82" s="1"/>
  <c r="D169" i="82"/>
  <c r="E169" i="82" s="1"/>
  <c r="F169" i="83"/>
  <c r="G169" i="83" s="1"/>
  <c r="D154" i="82"/>
  <c r="E154" i="82" s="1"/>
  <c r="F154" i="83"/>
  <c r="G154" i="83" s="1"/>
  <c r="F138" i="83"/>
  <c r="G138" i="83" s="1"/>
  <c r="D138" i="82"/>
  <c r="E138" i="82" s="1"/>
  <c r="F135" i="83"/>
  <c r="G135" i="83" s="1"/>
  <c r="D135" i="82"/>
  <c r="E135" i="82" s="1"/>
  <c r="H181" i="40"/>
  <c r="F158" i="83"/>
  <c r="G158" i="83" s="1"/>
  <c r="D158" i="82"/>
  <c r="E158" i="82" s="1"/>
  <c r="F144" i="83"/>
  <c r="G144" i="83" s="1"/>
  <c r="D144" i="82"/>
  <c r="E144" i="82" s="1"/>
  <c r="D141" i="82"/>
  <c r="E141" i="82" s="1"/>
  <c r="F141" i="83"/>
  <c r="G141" i="83" s="1"/>
  <c r="D132" i="82"/>
  <c r="E132" i="82" s="1"/>
  <c r="F132" i="83"/>
  <c r="G132" i="83" s="1"/>
  <c r="F99" i="83"/>
  <c r="G99" i="83" s="1"/>
  <c r="D99" i="82"/>
  <c r="E99" i="82" s="1"/>
  <c r="H275" i="40"/>
  <c r="H173" i="40"/>
  <c r="D175" i="37"/>
  <c r="C175" i="37"/>
  <c r="D183" i="37"/>
  <c r="C183" i="37"/>
  <c r="D189" i="37"/>
  <c r="C189" i="37"/>
  <c r="D193" i="37"/>
  <c r="C193" i="37"/>
  <c r="D197" i="37"/>
  <c r="C197" i="37"/>
  <c r="D200" i="37"/>
  <c r="C200" i="37"/>
  <c r="D218" i="37"/>
  <c r="C218" i="37"/>
  <c r="D227" i="37"/>
  <c r="C227" i="37"/>
  <c r="N87" i="46" s="1"/>
  <c r="D230" i="37"/>
  <c r="C230" i="37"/>
  <c r="D236" i="37"/>
  <c r="C236" i="37"/>
  <c r="D60" i="37"/>
  <c r="C60" i="37"/>
  <c r="D52" i="37"/>
  <c r="C52" i="37"/>
  <c r="D50" i="37"/>
  <c r="C50" i="37"/>
  <c r="D25" i="37"/>
  <c r="C25" i="37"/>
  <c r="D10" i="37"/>
  <c r="C10" i="37"/>
  <c r="E246" i="37"/>
  <c r="E243" i="37"/>
  <c r="K266" i="40" s="1"/>
  <c r="E242" i="37"/>
  <c r="K265" i="40" s="1"/>
  <c r="E240" i="37"/>
  <c r="K263" i="40" s="1"/>
  <c r="T263" i="40" s="1"/>
  <c r="E239" i="37"/>
  <c r="E238" i="37"/>
  <c r="E237" i="37"/>
  <c r="E234" i="37"/>
  <c r="E233" i="37"/>
  <c r="E232" i="37"/>
  <c r="K255" i="40" s="1"/>
  <c r="E231" i="37"/>
  <c r="K254" i="40" s="1"/>
  <c r="E229" i="37"/>
  <c r="K252" i="40" s="1"/>
  <c r="T252" i="40" s="1"/>
  <c r="E228" i="37"/>
  <c r="K251" i="40" s="1"/>
  <c r="E226" i="37"/>
  <c r="E223" i="37"/>
  <c r="E221" i="37"/>
  <c r="K244" i="40" s="1"/>
  <c r="T244" i="40" s="1"/>
  <c r="E220" i="37"/>
  <c r="E219" i="37"/>
  <c r="E216" i="37"/>
  <c r="K239" i="40" s="1"/>
  <c r="T239" i="40" s="1"/>
  <c r="E215" i="37"/>
  <c r="E214" i="37"/>
  <c r="E213" i="37"/>
  <c r="E210" i="37"/>
  <c r="K233" i="40" s="1"/>
  <c r="T233" i="40" s="1"/>
  <c r="E209" i="37"/>
  <c r="E208" i="37"/>
  <c r="E207" i="37"/>
  <c r="E206" i="37"/>
  <c r="E205" i="37"/>
  <c r="E202" i="37"/>
  <c r="K225" i="40" s="1"/>
  <c r="E201" i="37"/>
  <c r="K224" i="40" s="1"/>
  <c r="E199" i="37"/>
  <c r="K222" i="40" s="1"/>
  <c r="T222" i="40" s="1"/>
  <c r="E198" i="37"/>
  <c r="K221" i="40" s="1"/>
  <c r="T221" i="40" s="1"/>
  <c r="E196" i="37"/>
  <c r="E195" i="37"/>
  <c r="K218" i="40" s="1"/>
  <c r="E194" i="37"/>
  <c r="K217" i="40" s="1"/>
  <c r="T217" i="40" s="1"/>
  <c r="E192" i="37"/>
  <c r="E191" i="37"/>
  <c r="K214" i="40" s="1"/>
  <c r="E190" i="37"/>
  <c r="K213" i="40" s="1"/>
  <c r="E187" i="37"/>
  <c r="E186" i="37"/>
  <c r="E185" i="37"/>
  <c r="K208" i="40" s="1"/>
  <c r="T208" i="40" s="1"/>
  <c r="E184" i="37"/>
  <c r="K207" i="40" s="1"/>
  <c r="E182" i="37"/>
  <c r="E181" i="37"/>
  <c r="E178" i="37"/>
  <c r="E177" i="37"/>
  <c r="K200" i="40" s="1"/>
  <c r="E176" i="37"/>
  <c r="K199" i="40" s="1"/>
  <c r="T199" i="40" s="1"/>
  <c r="E174" i="37"/>
  <c r="K197" i="40" s="1"/>
  <c r="E173" i="37"/>
  <c r="K196" i="40" s="1"/>
  <c r="E172" i="37"/>
  <c r="E171" i="37"/>
  <c r="K194" i="40" s="1"/>
  <c r="E170" i="37"/>
  <c r="K193" i="40" s="1"/>
  <c r="T193" i="40" s="1"/>
  <c r="E169" i="37"/>
  <c r="E168" i="37"/>
  <c r="E164" i="37"/>
  <c r="E163" i="37"/>
  <c r="E162" i="37"/>
  <c r="E161" i="37"/>
  <c r="E160" i="37"/>
  <c r="K183" i="40" s="1"/>
  <c r="T183" i="40" s="1"/>
  <c r="E159" i="37"/>
  <c r="K182" i="40" s="1"/>
  <c r="E158" i="37"/>
  <c r="E156" i="37"/>
  <c r="K179" i="40" s="1"/>
  <c r="E155" i="37"/>
  <c r="K178" i="40" s="1"/>
  <c r="T178" i="40" s="1"/>
  <c r="E154" i="37"/>
  <c r="E153" i="37"/>
  <c r="K176" i="40" s="1"/>
  <c r="E151" i="37"/>
  <c r="K174" i="40" s="1"/>
  <c r="E150" i="37"/>
  <c r="E149" i="37"/>
  <c r="K172" i="40" s="1"/>
  <c r="T172" i="40" s="1"/>
  <c r="E148" i="37"/>
  <c r="K171" i="40" s="1"/>
  <c r="E147" i="37"/>
  <c r="E146" i="37"/>
  <c r="K169" i="40" s="1"/>
  <c r="E145" i="37"/>
  <c r="K168" i="40" s="1"/>
  <c r="E144" i="37"/>
  <c r="E143" i="37"/>
  <c r="K166" i="40" s="1"/>
  <c r="E142" i="37"/>
  <c r="K165" i="40" s="1"/>
  <c r="E141" i="37"/>
  <c r="E140" i="37"/>
  <c r="K163" i="40" s="1"/>
  <c r="E139" i="37"/>
  <c r="K162" i="40" s="1"/>
  <c r="E138" i="37"/>
  <c r="E137" i="37"/>
  <c r="K160" i="40" s="1"/>
  <c r="E136" i="37"/>
  <c r="K159" i="40" s="1"/>
  <c r="E135" i="37"/>
  <c r="E134" i="37"/>
  <c r="K157" i="40" s="1"/>
  <c r="E133" i="37"/>
  <c r="K156" i="40" s="1"/>
  <c r="E132" i="37"/>
  <c r="E129" i="37"/>
  <c r="E128" i="37"/>
  <c r="E127" i="37"/>
  <c r="K150" i="40" s="1"/>
  <c r="E126" i="37"/>
  <c r="K149" i="40" s="1"/>
  <c r="E125" i="37"/>
  <c r="E123" i="37"/>
  <c r="K146" i="40" s="1"/>
  <c r="E122" i="37"/>
  <c r="K145" i="40" s="1"/>
  <c r="E121" i="37"/>
  <c r="E120" i="37"/>
  <c r="E119" i="37"/>
  <c r="E118" i="37"/>
  <c r="K141" i="40" s="1"/>
  <c r="E117" i="37"/>
  <c r="K140" i="40" s="1"/>
  <c r="E116" i="37"/>
  <c r="E107" i="37"/>
  <c r="E106" i="37"/>
  <c r="E105" i="37"/>
  <c r="E104" i="37"/>
  <c r="E103" i="37"/>
  <c r="E102" i="37"/>
  <c r="E98" i="37"/>
  <c r="E97" i="37"/>
  <c r="E91" i="37"/>
  <c r="E90" i="37"/>
  <c r="E89" i="37"/>
  <c r="E87" i="37"/>
  <c r="E86" i="37"/>
  <c r="E85" i="37"/>
  <c r="E82" i="37"/>
  <c r="E81" i="37"/>
  <c r="E79" i="37"/>
  <c r="E78" i="37"/>
  <c r="E77" i="37"/>
  <c r="E75" i="37"/>
  <c r="E74" i="37"/>
  <c r="E73" i="37"/>
  <c r="E71" i="37"/>
  <c r="E70" i="37"/>
  <c r="E69" i="37"/>
  <c r="E65" i="37"/>
  <c r="E62" i="37"/>
  <c r="E61" i="37"/>
  <c r="E59" i="37"/>
  <c r="E58" i="37"/>
  <c r="E57" i="37"/>
  <c r="E56" i="37"/>
  <c r="E55" i="37"/>
  <c r="E54" i="37"/>
  <c r="E53" i="37"/>
  <c r="E51" i="37"/>
  <c r="E49" i="37"/>
  <c r="E48" i="37"/>
  <c r="E47" i="37"/>
  <c r="E46" i="37"/>
  <c r="E45" i="37"/>
  <c r="E42" i="37"/>
  <c r="E41" i="37"/>
  <c r="E40" i="37"/>
  <c r="E39" i="37"/>
  <c r="E38" i="37"/>
  <c r="E37" i="37"/>
  <c r="E36" i="37"/>
  <c r="E33" i="37"/>
  <c r="E32" i="37"/>
  <c r="E31" i="37"/>
  <c r="E30" i="37"/>
  <c r="E29" i="37"/>
  <c r="E28" i="37"/>
  <c r="E27" i="37"/>
  <c r="E26" i="37"/>
  <c r="E24" i="37"/>
  <c r="E22" i="37"/>
  <c r="E21" i="37"/>
  <c r="E20" i="37"/>
  <c r="E19" i="37"/>
  <c r="E18" i="37"/>
  <c r="E17" i="37"/>
  <c r="E16" i="37"/>
  <c r="E15" i="37"/>
  <c r="E14" i="37"/>
  <c r="D241" i="37"/>
  <c r="C241" i="37"/>
  <c r="E248" i="37"/>
  <c r="K271" i="40" s="1"/>
  <c r="E259" i="37"/>
  <c r="K282" i="40" s="1"/>
  <c r="E260" i="37"/>
  <c r="K283" i="40" s="1"/>
  <c r="E253" i="37"/>
  <c r="K276" i="40" s="1"/>
  <c r="E254" i="37"/>
  <c r="K277" i="40" s="1"/>
  <c r="D252" i="37"/>
  <c r="C252" i="37"/>
  <c r="D258" i="37"/>
  <c r="C258" i="37"/>
  <c r="N55" i="46" s="1"/>
  <c r="E265" i="37"/>
  <c r="K288" i="40" s="1"/>
  <c r="D275" i="37"/>
  <c r="C275" i="37"/>
  <c r="C270" i="37" s="1"/>
  <c r="C269" i="37" s="1"/>
  <c r="M241" i="40"/>
  <c r="F241" i="40"/>
  <c r="D241" i="40"/>
  <c r="C241" i="40"/>
  <c r="E241" i="40"/>
  <c r="M281" i="40"/>
  <c r="J281" i="40"/>
  <c r="I281" i="40"/>
  <c r="H281" i="40"/>
  <c r="G281" i="40"/>
  <c r="M55" i="46"/>
  <c r="K55" i="46"/>
  <c r="L55" i="46"/>
  <c r="C275" i="40"/>
  <c r="M259" i="40"/>
  <c r="F259" i="40"/>
  <c r="D259" i="40"/>
  <c r="C259" i="40"/>
  <c r="E259" i="40"/>
  <c r="M264" i="40"/>
  <c r="J264" i="40"/>
  <c r="I264" i="40"/>
  <c r="H264" i="40"/>
  <c r="I25" i="10" s="1"/>
  <c r="G264" i="40"/>
  <c r="H25" i="10" s="1"/>
  <c r="F264" i="40"/>
  <c r="D264" i="40"/>
  <c r="C264" i="40"/>
  <c r="E264" i="40"/>
  <c r="P264" i="40" s="1"/>
  <c r="M253" i="40"/>
  <c r="M248" i="40" s="1"/>
  <c r="M245" i="40" s="1"/>
  <c r="H253" i="40"/>
  <c r="G253" i="40"/>
  <c r="J250" i="40"/>
  <c r="I250" i="40"/>
  <c r="I248" i="40" s="1"/>
  <c r="I245" i="40" s="1"/>
  <c r="H250" i="40"/>
  <c r="G250" i="40"/>
  <c r="P250" i="40" s="1"/>
  <c r="M87" i="46"/>
  <c r="K87" i="46"/>
  <c r="L87" i="46"/>
  <c r="P235" i="40"/>
  <c r="P227" i="40"/>
  <c r="M223" i="40"/>
  <c r="J223" i="40"/>
  <c r="I223" i="40"/>
  <c r="H223" i="40"/>
  <c r="I18" i="10" s="1"/>
  <c r="G223" i="40"/>
  <c r="H18" i="10" s="1"/>
  <c r="F223" i="40"/>
  <c r="D223" i="40"/>
  <c r="C223" i="40"/>
  <c r="E223" i="40"/>
  <c r="M220" i="40"/>
  <c r="J220" i="40"/>
  <c r="R220" i="40" s="1"/>
  <c r="I220" i="40"/>
  <c r="H220" i="40"/>
  <c r="I17" i="10" s="1"/>
  <c r="G220" i="40"/>
  <c r="H17" i="10" s="1"/>
  <c r="F220" i="40"/>
  <c r="D220" i="40"/>
  <c r="E220" i="40"/>
  <c r="M216" i="40"/>
  <c r="J216" i="40"/>
  <c r="R216" i="40" s="1"/>
  <c r="I216" i="40"/>
  <c r="H216" i="40"/>
  <c r="G216" i="40"/>
  <c r="P216" i="40" s="1"/>
  <c r="D212" i="40"/>
  <c r="C212" i="40"/>
  <c r="M212" i="40"/>
  <c r="J212" i="40"/>
  <c r="I212" i="40"/>
  <c r="H212" i="40"/>
  <c r="G212" i="40"/>
  <c r="F212" i="40"/>
  <c r="E212" i="40"/>
  <c r="M206" i="40"/>
  <c r="J206" i="40"/>
  <c r="I206" i="40"/>
  <c r="H206" i="40"/>
  <c r="G206" i="40"/>
  <c r="F206" i="40"/>
  <c r="D206" i="40"/>
  <c r="C206" i="40"/>
  <c r="E206" i="40"/>
  <c r="J198" i="40"/>
  <c r="I198" i="40"/>
  <c r="H198" i="40"/>
  <c r="G198" i="40"/>
  <c r="F198" i="40"/>
  <c r="D198" i="40"/>
  <c r="C198" i="40"/>
  <c r="E198" i="40"/>
  <c r="P198" i="40" s="1"/>
  <c r="J195" i="40"/>
  <c r="I195" i="40"/>
  <c r="H195" i="40"/>
  <c r="G195" i="40"/>
  <c r="F195" i="40"/>
  <c r="D195" i="40"/>
  <c r="C195" i="40"/>
  <c r="E195" i="40"/>
  <c r="J192" i="40"/>
  <c r="I192" i="40"/>
  <c r="H192" i="40"/>
  <c r="G192" i="40"/>
  <c r="F192" i="40"/>
  <c r="D192" i="40"/>
  <c r="C192" i="40"/>
  <c r="E192" i="40"/>
  <c r="F94" i="46"/>
  <c r="E94" i="46"/>
  <c r="L94" i="46" s="1"/>
  <c r="M180" i="40"/>
  <c r="D180" i="40"/>
  <c r="C180" i="40"/>
  <c r="M177" i="40"/>
  <c r="J177" i="40"/>
  <c r="R177" i="40" s="1"/>
  <c r="I177" i="40"/>
  <c r="H177" i="40"/>
  <c r="G177" i="40"/>
  <c r="P177" i="40" s="1"/>
  <c r="M170" i="40"/>
  <c r="J170" i="40"/>
  <c r="I170" i="40"/>
  <c r="H170" i="40"/>
  <c r="G170" i="40"/>
  <c r="F170" i="40"/>
  <c r="D170" i="40"/>
  <c r="C170" i="40"/>
  <c r="E170" i="40"/>
  <c r="M167" i="40"/>
  <c r="J167" i="40"/>
  <c r="I167" i="40"/>
  <c r="H167" i="40"/>
  <c r="G167" i="40"/>
  <c r="F167" i="40"/>
  <c r="D167" i="40"/>
  <c r="C167" i="40"/>
  <c r="E167" i="40"/>
  <c r="P167" i="40" s="1"/>
  <c r="M164" i="40"/>
  <c r="J164" i="40"/>
  <c r="I164" i="40"/>
  <c r="H164" i="40"/>
  <c r="G164" i="40"/>
  <c r="F164" i="40"/>
  <c r="D164" i="40"/>
  <c r="C164" i="40"/>
  <c r="E164" i="40"/>
  <c r="M161" i="40"/>
  <c r="J161" i="40"/>
  <c r="I161" i="40"/>
  <c r="H161" i="40"/>
  <c r="G161" i="40"/>
  <c r="F161" i="40"/>
  <c r="D161" i="40"/>
  <c r="C161" i="40"/>
  <c r="E161" i="40"/>
  <c r="C158" i="40"/>
  <c r="R158" i="40" s="1"/>
  <c r="D158" i="40"/>
  <c r="F158" i="40"/>
  <c r="E158" i="40"/>
  <c r="P158" i="40" s="1"/>
  <c r="D155" i="40"/>
  <c r="C155" i="40"/>
  <c r="M155" i="40"/>
  <c r="F155" i="40"/>
  <c r="H155" i="40"/>
  <c r="I155" i="40"/>
  <c r="J155" i="40"/>
  <c r="E155" i="40"/>
  <c r="P155" i="40" s="1"/>
  <c r="D148" i="40"/>
  <c r="C148" i="40"/>
  <c r="M148" i="40"/>
  <c r="M147" i="40" s="1"/>
  <c r="J148" i="40"/>
  <c r="I148" i="40"/>
  <c r="H148" i="40"/>
  <c r="G148" i="40"/>
  <c r="F148" i="40"/>
  <c r="E148" i="40"/>
  <c r="P170" i="40" l="1"/>
  <c r="F227" i="83"/>
  <c r="G227" i="83" s="1"/>
  <c r="D227" i="82"/>
  <c r="E227" i="82" s="1"/>
  <c r="F193" i="83"/>
  <c r="G193" i="83" s="1"/>
  <c r="D193" i="82"/>
  <c r="E193" i="82" s="1"/>
  <c r="F252" i="83"/>
  <c r="G252" i="83" s="1"/>
  <c r="D252" i="82"/>
  <c r="E252" i="82" s="1"/>
  <c r="F50" i="83"/>
  <c r="G50" i="83" s="1"/>
  <c r="D50" i="82"/>
  <c r="E50" i="82" s="1"/>
  <c r="F258" i="83"/>
  <c r="G258" i="83" s="1"/>
  <c r="D258" i="82"/>
  <c r="E258" i="82" s="1"/>
  <c r="F197" i="83"/>
  <c r="G197" i="83" s="1"/>
  <c r="D197" i="82"/>
  <c r="E197" i="82" s="1"/>
  <c r="F275" i="83"/>
  <c r="G275" i="83" s="1"/>
  <c r="D275" i="82"/>
  <c r="E275" i="82" s="1"/>
  <c r="F241" i="83"/>
  <c r="G241" i="83" s="1"/>
  <c r="D241" i="82"/>
  <c r="E241" i="82" s="1"/>
  <c r="F236" i="83"/>
  <c r="G236" i="83" s="1"/>
  <c r="D236" i="82"/>
  <c r="E236" i="82" s="1"/>
  <c r="D230" i="82"/>
  <c r="E230" i="82" s="1"/>
  <c r="F230" i="83"/>
  <c r="G230" i="83" s="1"/>
  <c r="C225" i="37"/>
  <c r="C222" i="37" s="1"/>
  <c r="F218" i="83"/>
  <c r="G218" i="83" s="1"/>
  <c r="D218" i="82"/>
  <c r="E218" i="82" s="1"/>
  <c r="F200" i="83"/>
  <c r="G200" i="83" s="1"/>
  <c r="D200" i="82"/>
  <c r="E200" i="82" s="1"/>
  <c r="D189" i="82"/>
  <c r="E189" i="82" s="1"/>
  <c r="F189" i="83"/>
  <c r="G189" i="83" s="1"/>
  <c r="F183" i="83"/>
  <c r="G183" i="83" s="1"/>
  <c r="D183" i="82"/>
  <c r="E183" i="82" s="1"/>
  <c r="F175" i="83"/>
  <c r="G175" i="83" s="1"/>
  <c r="D175" i="82"/>
  <c r="E175" i="82" s="1"/>
  <c r="F10" i="83"/>
  <c r="G10" i="83" s="1"/>
  <c r="D10" i="82"/>
  <c r="E10" i="82" s="1"/>
  <c r="F60" i="83"/>
  <c r="G60" i="83" s="1"/>
  <c r="D60" i="82"/>
  <c r="E60" i="82" s="1"/>
  <c r="F52" i="83"/>
  <c r="G52" i="83" s="1"/>
  <c r="D52" i="82"/>
  <c r="E52" i="82" s="1"/>
  <c r="F25" i="83"/>
  <c r="G25" i="83" s="1"/>
  <c r="D25" i="82"/>
  <c r="E25" i="82" s="1"/>
  <c r="R264" i="40"/>
  <c r="R170" i="40"/>
  <c r="R167" i="40"/>
  <c r="P148" i="40"/>
  <c r="K181" i="40"/>
  <c r="O181" i="40" s="1"/>
  <c r="K158" i="40"/>
  <c r="P220" i="40"/>
  <c r="D225" i="37"/>
  <c r="K275" i="40"/>
  <c r="R161" i="40"/>
  <c r="P223" i="40"/>
  <c r="C32" i="48"/>
  <c r="P195" i="40"/>
  <c r="R223" i="40"/>
  <c r="C31" i="48"/>
  <c r="P164" i="40"/>
  <c r="R164" i="40"/>
  <c r="P192" i="40"/>
  <c r="P206" i="40"/>
  <c r="P161" i="40"/>
  <c r="C245" i="37"/>
  <c r="C244" i="37" s="1"/>
  <c r="C251" i="37"/>
  <c r="D245" i="37"/>
  <c r="D251" i="37"/>
  <c r="M268" i="40"/>
  <c r="M274" i="40"/>
  <c r="P281" i="40"/>
  <c r="G268" i="40"/>
  <c r="H27" i="10" s="1"/>
  <c r="G274" i="40"/>
  <c r="R192" i="40"/>
  <c r="R195" i="40"/>
  <c r="R198" i="40"/>
  <c r="R206" i="40"/>
  <c r="R275" i="40"/>
  <c r="C268" i="40"/>
  <c r="C274" i="40"/>
  <c r="I268" i="40"/>
  <c r="I274" i="40"/>
  <c r="R281" i="40"/>
  <c r="J268" i="40"/>
  <c r="J274" i="40"/>
  <c r="C21" i="70"/>
  <c r="R148" i="40"/>
  <c r="R155" i="40"/>
  <c r="R212" i="40"/>
  <c r="J248" i="40"/>
  <c r="J245" i="40" s="1"/>
  <c r="R250" i="40"/>
  <c r="P212" i="40"/>
  <c r="G248" i="40"/>
  <c r="G245" i="40" s="1"/>
  <c r="H23" i="10" s="1"/>
  <c r="P253" i="40"/>
  <c r="E212" i="37"/>
  <c r="K164" i="40"/>
  <c r="S164" i="40" s="1"/>
  <c r="E204" i="37"/>
  <c r="K198" i="40"/>
  <c r="O198" i="40" s="1"/>
  <c r="O277" i="40"/>
  <c r="S277" i="40"/>
  <c r="O282" i="40"/>
  <c r="S282" i="40"/>
  <c r="O162" i="40"/>
  <c r="S162" i="40"/>
  <c r="O166" i="40"/>
  <c r="S166" i="40"/>
  <c r="O174" i="40"/>
  <c r="S174" i="40"/>
  <c r="O179" i="40"/>
  <c r="S179" i="40"/>
  <c r="O200" i="40"/>
  <c r="S200" i="40"/>
  <c r="T200" i="40"/>
  <c r="O207" i="40"/>
  <c r="S207" i="40"/>
  <c r="O213" i="40"/>
  <c r="S213" i="40"/>
  <c r="O218" i="40"/>
  <c r="S218" i="40"/>
  <c r="T218" i="40"/>
  <c r="O224" i="40"/>
  <c r="S224" i="40"/>
  <c r="O255" i="40"/>
  <c r="S255" i="40"/>
  <c r="O265" i="40"/>
  <c r="S265" i="40"/>
  <c r="T213" i="40"/>
  <c r="T162" i="40"/>
  <c r="D147" i="40"/>
  <c r="O276" i="40"/>
  <c r="S276" i="40"/>
  <c r="O271" i="40"/>
  <c r="S271" i="40"/>
  <c r="O140" i="40"/>
  <c r="S140" i="40"/>
  <c r="T140" i="40"/>
  <c r="O149" i="40"/>
  <c r="S149" i="40"/>
  <c r="T149" i="40"/>
  <c r="O159" i="40"/>
  <c r="S159" i="40"/>
  <c r="T159" i="40"/>
  <c r="O163" i="40"/>
  <c r="S163" i="40"/>
  <c r="T163" i="40"/>
  <c r="O171" i="40"/>
  <c r="S171" i="40"/>
  <c r="T171" i="40"/>
  <c r="O176" i="40"/>
  <c r="S176" i="40"/>
  <c r="T176" i="40"/>
  <c r="O196" i="40"/>
  <c r="S196" i="40"/>
  <c r="O208" i="40"/>
  <c r="S208" i="40"/>
  <c r="O214" i="40"/>
  <c r="S214" i="40"/>
  <c r="T214" i="40"/>
  <c r="O225" i="40"/>
  <c r="S225" i="40"/>
  <c r="T225" i="40"/>
  <c r="O251" i="40"/>
  <c r="S251" i="40"/>
  <c r="T251" i="40"/>
  <c r="O266" i="40"/>
  <c r="S266" i="40"/>
  <c r="T174" i="40"/>
  <c r="T277" i="40"/>
  <c r="T196" i="40"/>
  <c r="T179" i="40"/>
  <c r="T255" i="40"/>
  <c r="T266" i="40"/>
  <c r="O288" i="40"/>
  <c r="S288" i="40"/>
  <c r="O141" i="40"/>
  <c r="S141" i="40"/>
  <c r="O145" i="40"/>
  <c r="S145" i="40"/>
  <c r="T145" i="40"/>
  <c r="O150" i="40"/>
  <c r="S150" i="40"/>
  <c r="O156" i="40"/>
  <c r="S156" i="40"/>
  <c r="O160" i="40"/>
  <c r="S160" i="40"/>
  <c r="O168" i="40"/>
  <c r="S168" i="40"/>
  <c r="O172" i="40"/>
  <c r="S172" i="40"/>
  <c r="O182" i="40"/>
  <c r="S182" i="40"/>
  <c r="O193" i="40"/>
  <c r="S193" i="40"/>
  <c r="O197" i="40"/>
  <c r="S197" i="40"/>
  <c r="T197" i="40"/>
  <c r="O221" i="40"/>
  <c r="S221" i="40"/>
  <c r="O244" i="40"/>
  <c r="S244" i="40"/>
  <c r="O252" i="40"/>
  <c r="S252" i="40"/>
  <c r="T141" i="40"/>
  <c r="T276" i="40"/>
  <c r="T168" i="40"/>
  <c r="T265" i="40"/>
  <c r="T207" i="40"/>
  <c r="T224" i="40"/>
  <c r="T282" i="40"/>
  <c r="O283" i="40"/>
  <c r="S283" i="40"/>
  <c r="T283" i="40"/>
  <c r="O146" i="40"/>
  <c r="S146" i="40"/>
  <c r="T146" i="40"/>
  <c r="O157" i="40"/>
  <c r="S157" i="40"/>
  <c r="T157" i="40"/>
  <c r="O165" i="40"/>
  <c r="S165" i="40"/>
  <c r="T165" i="40"/>
  <c r="O169" i="40"/>
  <c r="S169" i="40"/>
  <c r="T169" i="40"/>
  <c r="O178" i="40"/>
  <c r="S178" i="40"/>
  <c r="O183" i="40"/>
  <c r="S183" i="40"/>
  <c r="O194" i="40"/>
  <c r="S194" i="40"/>
  <c r="O199" i="40"/>
  <c r="S199" i="40"/>
  <c r="O217" i="40"/>
  <c r="S217" i="40"/>
  <c r="O222" i="40"/>
  <c r="S222" i="40"/>
  <c r="O233" i="40"/>
  <c r="S233" i="40"/>
  <c r="O239" i="40"/>
  <c r="S239" i="40"/>
  <c r="O254" i="40"/>
  <c r="S254" i="40"/>
  <c r="O263" i="40"/>
  <c r="S263" i="40"/>
  <c r="T166" i="40"/>
  <c r="T182" i="40"/>
  <c r="T254" i="40"/>
  <c r="T150" i="40"/>
  <c r="T194" i="40"/>
  <c r="T271" i="40"/>
  <c r="T160" i="40"/>
  <c r="T288" i="40"/>
  <c r="T156" i="40"/>
  <c r="K167" i="40"/>
  <c r="S167" i="40" s="1"/>
  <c r="K155" i="40"/>
  <c r="S155" i="40" s="1"/>
  <c r="K177" i="40"/>
  <c r="O177" i="40" s="1"/>
  <c r="K250" i="40"/>
  <c r="O250" i="40" s="1"/>
  <c r="K192" i="40"/>
  <c r="S192" i="40" s="1"/>
  <c r="E193" i="37"/>
  <c r="F147" i="40"/>
  <c r="L276" i="40"/>
  <c r="L149" i="40"/>
  <c r="U149" i="40" s="1"/>
  <c r="L163" i="40"/>
  <c r="U163" i="40" s="1"/>
  <c r="L171" i="40"/>
  <c r="U171" i="40" s="1"/>
  <c r="L176" i="40"/>
  <c r="U176" i="40" s="1"/>
  <c r="L196" i="40"/>
  <c r="U196" i="40" s="1"/>
  <c r="L214" i="40"/>
  <c r="U214" i="40" s="1"/>
  <c r="L251" i="40"/>
  <c r="U251" i="40" s="1"/>
  <c r="K195" i="40"/>
  <c r="O195" i="40" s="1"/>
  <c r="L288" i="40"/>
  <c r="U288" i="40" s="1"/>
  <c r="L141" i="40"/>
  <c r="U141" i="40" s="1"/>
  <c r="L145" i="40"/>
  <c r="U145" i="40" s="1"/>
  <c r="L150" i="40"/>
  <c r="U150" i="40" s="1"/>
  <c r="L156" i="40"/>
  <c r="U156" i="40" s="1"/>
  <c r="L160" i="40"/>
  <c r="U160" i="40" s="1"/>
  <c r="L168" i="40"/>
  <c r="U168" i="40" s="1"/>
  <c r="L172" i="40"/>
  <c r="U172" i="40" s="1"/>
  <c r="L182" i="40"/>
  <c r="L193" i="40"/>
  <c r="U193" i="40" s="1"/>
  <c r="L197" i="40"/>
  <c r="U197" i="40" s="1"/>
  <c r="L221" i="40"/>
  <c r="U221" i="40" s="1"/>
  <c r="L244" i="40"/>
  <c r="U244" i="40" s="1"/>
  <c r="L252" i="40"/>
  <c r="U252" i="40" s="1"/>
  <c r="L271" i="40"/>
  <c r="U271" i="40" s="1"/>
  <c r="L140" i="40"/>
  <c r="U140" i="40" s="1"/>
  <c r="L159" i="40"/>
  <c r="L208" i="40"/>
  <c r="U208" i="40" s="1"/>
  <c r="L225" i="40"/>
  <c r="U225" i="40" s="1"/>
  <c r="L266" i="40"/>
  <c r="U266" i="40" s="1"/>
  <c r="E147" i="40"/>
  <c r="C147" i="40"/>
  <c r="K170" i="40"/>
  <c r="T170" i="40" s="1"/>
  <c r="K212" i="40"/>
  <c r="S212" i="40" s="1"/>
  <c r="L283" i="40"/>
  <c r="U283" i="40" s="1"/>
  <c r="L146" i="40"/>
  <c r="U146" i="40" s="1"/>
  <c r="L157" i="40"/>
  <c r="U157" i="40" s="1"/>
  <c r="L165" i="40"/>
  <c r="U165" i="40" s="1"/>
  <c r="L169" i="40"/>
  <c r="U169" i="40" s="1"/>
  <c r="L178" i="40"/>
  <c r="U178" i="40" s="1"/>
  <c r="L183" i="40"/>
  <c r="U183" i="40" s="1"/>
  <c r="L194" i="40"/>
  <c r="L199" i="40"/>
  <c r="U199" i="40" s="1"/>
  <c r="L217" i="40"/>
  <c r="U217" i="40" s="1"/>
  <c r="L222" i="40"/>
  <c r="L233" i="40"/>
  <c r="U233" i="40" s="1"/>
  <c r="L239" i="40"/>
  <c r="U239" i="40" s="1"/>
  <c r="L254" i="40"/>
  <c r="U254" i="40" s="1"/>
  <c r="L263" i="40"/>
  <c r="U263" i="40" s="1"/>
  <c r="L277" i="40"/>
  <c r="U277" i="40" s="1"/>
  <c r="L282" i="40"/>
  <c r="U282" i="40" s="1"/>
  <c r="L162" i="40"/>
  <c r="L166" i="40"/>
  <c r="U166" i="40" s="1"/>
  <c r="L179" i="40"/>
  <c r="U179" i="40" s="1"/>
  <c r="L200" i="40"/>
  <c r="U200" i="40" s="1"/>
  <c r="L207" i="40"/>
  <c r="U207" i="40" s="1"/>
  <c r="L213" i="40"/>
  <c r="U213" i="40" s="1"/>
  <c r="L218" i="40"/>
  <c r="U218" i="40" s="1"/>
  <c r="L224" i="40"/>
  <c r="U224" i="40" s="1"/>
  <c r="L255" i="40"/>
  <c r="U255" i="40" s="1"/>
  <c r="L265" i="40"/>
  <c r="U265" i="40" s="1"/>
  <c r="K206" i="40"/>
  <c r="T206" i="40" s="1"/>
  <c r="K223" i="40"/>
  <c r="T223" i="40" s="1"/>
  <c r="K264" i="40"/>
  <c r="S264" i="40" s="1"/>
  <c r="M211" i="40"/>
  <c r="M190" i="40" s="1"/>
  <c r="M153" i="40"/>
  <c r="K281" i="40"/>
  <c r="O281" i="40" s="1"/>
  <c r="E200" i="37"/>
  <c r="K148" i="40"/>
  <c r="T148" i="40" s="1"/>
  <c r="L52" i="46"/>
  <c r="K173" i="40"/>
  <c r="L174" i="40"/>
  <c r="E230" i="37"/>
  <c r="K216" i="40"/>
  <c r="O216" i="40" s="1"/>
  <c r="E227" i="37"/>
  <c r="M52" i="46"/>
  <c r="N52" i="46"/>
  <c r="K253" i="40"/>
  <c r="O253" i="40" s="1"/>
  <c r="K161" i="40"/>
  <c r="O161" i="40" s="1"/>
  <c r="M94" i="46"/>
  <c r="F92" i="46"/>
  <c r="E175" i="37"/>
  <c r="E180" i="40"/>
  <c r="E93" i="46"/>
  <c r="K52" i="46"/>
  <c r="E183" i="37"/>
  <c r="E241" i="37"/>
  <c r="E189" i="37"/>
  <c r="C188" i="37"/>
  <c r="F180" i="40"/>
  <c r="D270" i="37"/>
  <c r="D153" i="40"/>
  <c r="C153" i="40"/>
  <c r="K220" i="40"/>
  <c r="O220" i="40" s="1"/>
  <c r="E197" i="37"/>
  <c r="M144" i="40"/>
  <c r="M138" i="40" s="1"/>
  <c r="K144" i="40"/>
  <c r="J144" i="40"/>
  <c r="I144" i="40"/>
  <c r="H144" i="40"/>
  <c r="G144" i="40"/>
  <c r="F144" i="40"/>
  <c r="E144" i="40"/>
  <c r="D144" i="40"/>
  <c r="C144" i="40"/>
  <c r="T181" i="40" l="1"/>
  <c r="F251" i="83"/>
  <c r="G251" i="83" s="1"/>
  <c r="D251" i="82"/>
  <c r="E251" i="82" s="1"/>
  <c r="D270" i="82"/>
  <c r="E270" i="82" s="1"/>
  <c r="F270" i="83"/>
  <c r="G270" i="83" s="1"/>
  <c r="F245" i="83"/>
  <c r="G245" i="83" s="1"/>
  <c r="D245" i="82"/>
  <c r="E245" i="82" s="1"/>
  <c r="D222" i="37"/>
  <c r="F222" i="83" s="1"/>
  <c r="G222" i="83" s="1"/>
  <c r="D225" i="82"/>
  <c r="E225" i="82" s="1"/>
  <c r="F225" i="83"/>
  <c r="G225" i="83" s="1"/>
  <c r="U276" i="40"/>
  <c r="L275" i="40"/>
  <c r="U159" i="40"/>
  <c r="L158" i="40"/>
  <c r="U182" i="40"/>
  <c r="L181" i="40"/>
  <c r="U181" i="40" s="1"/>
  <c r="T198" i="40"/>
  <c r="P144" i="40"/>
  <c r="T275" i="40"/>
  <c r="O164" i="40"/>
  <c r="C17" i="70"/>
  <c r="R245" i="40"/>
  <c r="R248" i="40"/>
  <c r="C13" i="70"/>
  <c r="R144" i="40"/>
  <c r="C20" i="20"/>
  <c r="T164" i="40"/>
  <c r="S198" i="40"/>
  <c r="S144" i="40"/>
  <c r="S170" i="40"/>
  <c r="C12" i="20"/>
  <c r="O170" i="40"/>
  <c r="O192" i="40"/>
  <c r="O144" i="40"/>
  <c r="O173" i="40"/>
  <c r="S173" i="40"/>
  <c r="L192" i="40"/>
  <c r="U192" i="40" s="1"/>
  <c r="U194" i="40"/>
  <c r="T144" i="40"/>
  <c r="L173" i="40"/>
  <c r="U173" i="40" s="1"/>
  <c r="U174" i="40"/>
  <c r="S253" i="40"/>
  <c r="T212" i="40"/>
  <c r="T192" i="40"/>
  <c r="S148" i="40"/>
  <c r="S281" i="40"/>
  <c r="S223" i="40"/>
  <c r="T264" i="40"/>
  <c r="O223" i="40"/>
  <c r="S216" i="40"/>
  <c r="T155" i="40"/>
  <c r="T250" i="40"/>
  <c r="T161" i="40"/>
  <c r="S206" i="40"/>
  <c r="S161" i="40"/>
  <c r="S275" i="40"/>
  <c r="T220" i="40"/>
  <c r="O206" i="40"/>
  <c r="O148" i="40"/>
  <c r="O212" i="40"/>
  <c r="O167" i="40"/>
  <c r="T173" i="40"/>
  <c r="T281" i="40"/>
  <c r="O264" i="40"/>
  <c r="S250" i="40"/>
  <c r="T167" i="40"/>
  <c r="O155" i="40"/>
  <c r="T216" i="40"/>
  <c r="S195" i="40"/>
  <c r="O275" i="40"/>
  <c r="S220" i="40"/>
  <c r="T177" i="40"/>
  <c r="S177" i="40"/>
  <c r="L170" i="40"/>
  <c r="U170" i="40" s="1"/>
  <c r="L161" i="40"/>
  <c r="U161" i="40" s="1"/>
  <c r="U162" i="40"/>
  <c r="L220" i="40"/>
  <c r="U220" i="40" s="1"/>
  <c r="U222" i="40"/>
  <c r="T195" i="40"/>
  <c r="T253" i="40"/>
  <c r="L206" i="40"/>
  <c r="U206" i="40" s="1"/>
  <c r="L212" i="40"/>
  <c r="U212" i="40" s="1"/>
  <c r="L250" i="40"/>
  <c r="U250" i="40" s="1"/>
  <c r="L195" i="40"/>
  <c r="U195" i="40" s="1"/>
  <c r="L216" i="40"/>
  <c r="U216" i="40" s="1"/>
  <c r="L264" i="40"/>
  <c r="U264" i="40" s="1"/>
  <c r="L281" i="40"/>
  <c r="U281" i="40" s="1"/>
  <c r="L144" i="40"/>
  <c r="U144" i="40" s="1"/>
  <c r="L253" i="40"/>
  <c r="U253" i="40" s="1"/>
  <c r="L223" i="40"/>
  <c r="U223" i="40" s="1"/>
  <c r="L198" i="40"/>
  <c r="U198" i="40" s="1"/>
  <c r="L177" i="40"/>
  <c r="U177" i="40" s="1"/>
  <c r="L164" i="40"/>
  <c r="U164" i="40" s="1"/>
  <c r="C38" i="48"/>
  <c r="F153" i="40"/>
  <c r="E153" i="40"/>
  <c r="L155" i="40"/>
  <c r="U155" i="40" s="1"/>
  <c r="L148" i="40"/>
  <c r="U148" i="40" s="1"/>
  <c r="L167" i="40"/>
  <c r="U167" i="40" s="1"/>
  <c r="C39" i="48"/>
  <c r="D269" i="37"/>
  <c r="D244" i="37"/>
  <c r="E245" i="37"/>
  <c r="E92" i="46"/>
  <c r="L93" i="46"/>
  <c r="C138" i="40"/>
  <c r="F138" i="40"/>
  <c r="E138" i="40"/>
  <c r="D138" i="40"/>
  <c r="D222" i="82" l="1"/>
  <c r="E222" i="82" s="1"/>
  <c r="F269" i="83"/>
  <c r="G269" i="83" s="1"/>
  <c r="D269" i="82"/>
  <c r="E269" i="82" s="1"/>
  <c r="D244" i="82"/>
  <c r="E244" i="82" s="1"/>
  <c r="F244" i="83"/>
  <c r="G244" i="83" s="1"/>
  <c r="U275" i="40"/>
  <c r="E244" i="37"/>
  <c r="D203" i="37"/>
  <c r="K22" i="76"/>
  <c r="K23" i="76"/>
  <c r="K20" i="76"/>
  <c r="K14" i="76"/>
  <c r="K15" i="76"/>
  <c r="K16" i="76"/>
  <c r="K13" i="76"/>
  <c r="K9" i="76"/>
  <c r="K8" i="76"/>
  <c r="F203" i="83" l="1"/>
  <c r="G203" i="83" s="1"/>
  <c r="D203" i="82"/>
  <c r="E203" i="82" s="1"/>
  <c r="M28" i="25"/>
  <c r="L28" i="25"/>
  <c r="K28" i="25"/>
  <c r="J28" i="25"/>
  <c r="I28" i="25"/>
  <c r="H28" i="25"/>
  <c r="G28" i="25"/>
  <c r="F28" i="25"/>
  <c r="E28" i="25"/>
  <c r="D28" i="25"/>
  <c r="C28" i="25" l="1"/>
  <c r="C29" i="25" s="1"/>
  <c r="C30" i="25" s="1"/>
  <c r="C31" i="25" s="1"/>
  <c r="C32" i="25" s="1"/>
  <c r="C33" i="25" s="1"/>
  <c r="C34" i="25" s="1"/>
  <c r="C35" i="25" s="1"/>
  <c r="C36" i="25" s="1"/>
  <c r="D19" i="25"/>
  <c r="E10" i="25"/>
  <c r="F10" i="25"/>
  <c r="G10" i="25"/>
  <c r="H10" i="25"/>
  <c r="I10" i="25"/>
  <c r="J10" i="25"/>
  <c r="K10" i="25"/>
  <c r="L10" i="25"/>
  <c r="M10" i="25"/>
  <c r="D10" i="25"/>
  <c r="J9" i="34" l="1"/>
  <c r="H97" i="46" l="1"/>
  <c r="N97" i="46" s="1"/>
  <c r="C224" i="75" l="1"/>
  <c r="C222" i="75"/>
  <c r="A223" i="75"/>
  <c r="A221" i="75"/>
  <c r="C218" i="75"/>
  <c r="A218" i="75"/>
  <c r="A219" i="75"/>
  <c r="B16" i="75"/>
  <c r="B210" i="75"/>
  <c r="B209" i="75"/>
  <c r="B208" i="75" s="1"/>
  <c r="B207" i="75" s="1"/>
  <c r="B196" i="75"/>
  <c r="B192" i="75" s="1"/>
  <c r="B191" i="75" s="1"/>
  <c r="B190" i="75" s="1"/>
  <c r="B14" i="75" s="1"/>
  <c r="B189" i="75"/>
  <c r="B20" i="75" s="1"/>
  <c r="B181" i="75"/>
  <c r="B173" i="75"/>
  <c r="B172" i="75" s="1"/>
  <c r="B164" i="75"/>
  <c r="B157" i="75"/>
  <c r="B153" i="75"/>
  <c r="B139" i="75"/>
  <c r="B128" i="75"/>
  <c r="B118" i="75" s="1"/>
  <c r="B112" i="75"/>
  <c r="B103" i="75" s="1"/>
  <c r="B96" i="75"/>
  <c r="B93" i="75" s="1"/>
  <c r="B82" i="75"/>
  <c r="B81" i="75" s="1"/>
  <c r="B77" i="75"/>
  <c r="B17" i="75" s="1"/>
  <c r="B75" i="75"/>
  <c r="B74" i="75" s="1"/>
  <c r="B13" i="75" s="1"/>
  <c r="B71" i="75"/>
  <c r="B63" i="75"/>
  <c r="B61" i="75"/>
  <c r="B38" i="75"/>
  <c r="B36" i="75"/>
  <c r="B26" i="75"/>
  <c r="B25" i="75" l="1"/>
  <c r="B11" i="75" s="1"/>
  <c r="B80" i="75"/>
  <c r="B18" i="75" s="1"/>
  <c r="B19" i="75"/>
  <c r="B171" i="75"/>
  <c r="B92" i="75"/>
  <c r="B138" i="75"/>
  <c r="B206" i="75"/>
  <c r="B205" i="75" s="1"/>
  <c r="B15" i="75"/>
  <c r="B91" i="75" l="1"/>
  <c r="B55" i="75" s="1"/>
  <c r="B47" i="75" s="1"/>
  <c r="B46" i="75" s="1"/>
  <c r="E28" i="45"/>
  <c r="E29" i="45"/>
  <c r="C26" i="45"/>
  <c r="C27" i="45"/>
  <c r="C28" i="45"/>
  <c r="C29" i="45"/>
  <c r="C25" i="45" l="1"/>
  <c r="B12" i="75"/>
  <c r="B24" i="75"/>
  <c r="B23" i="75" s="1"/>
  <c r="B89" i="75"/>
  <c r="B10" i="75" l="1"/>
  <c r="B9" i="75" s="1"/>
  <c r="B22" i="75"/>
  <c r="B21" i="75" s="1"/>
  <c r="M95" i="40" l="1"/>
  <c r="M91" i="40" s="1"/>
  <c r="K98" i="40"/>
  <c r="D72" i="37"/>
  <c r="C72" i="37"/>
  <c r="C68" i="37" s="1"/>
  <c r="D91" i="40"/>
  <c r="P95" i="40"/>
  <c r="K231" i="40"/>
  <c r="O231" i="40" s="1"/>
  <c r="D6" i="40"/>
  <c r="E6" i="40"/>
  <c r="F6" i="40"/>
  <c r="C6" i="40"/>
  <c r="D68" i="37" l="1"/>
  <c r="F68" i="83" s="1"/>
  <c r="G68" i="83" s="1"/>
  <c r="F72" i="83"/>
  <c r="G72" i="83" s="1"/>
  <c r="D72" i="82"/>
  <c r="E72" i="82" s="1"/>
  <c r="D68" i="82"/>
  <c r="E68" i="82" s="1"/>
  <c r="R95" i="40"/>
  <c r="C91" i="40"/>
  <c r="C203" i="37"/>
  <c r="P248" i="40"/>
  <c r="P245" i="40"/>
  <c r="S231" i="40"/>
  <c r="E225" i="37"/>
  <c r="E222" i="37" s="1"/>
  <c r="E72" i="37"/>
  <c r="H98" i="40"/>
  <c r="Q98" i="40" s="1"/>
  <c r="S98" i="40"/>
  <c r="O98" i="40"/>
  <c r="H231" i="40"/>
  <c r="T231" i="40" s="1"/>
  <c r="T98" i="40" l="1"/>
  <c r="L98" i="40"/>
  <c r="U98" i="40" s="1"/>
  <c r="L231" i="40"/>
  <c r="U231" i="40" s="1"/>
  <c r="I17" i="76" l="1"/>
  <c r="K17" i="76" l="1"/>
  <c r="E20" i="72"/>
  <c r="G11" i="34"/>
  <c r="C15" i="34"/>
  <c r="C14" i="34"/>
  <c r="G10" i="66" l="1"/>
  <c r="I10" i="66" s="1"/>
  <c r="F11" i="67" l="1"/>
  <c r="H11" i="67" s="1"/>
  <c r="C50" i="32" l="1"/>
  <c r="E25" i="16" l="1"/>
  <c r="D25" i="16"/>
  <c r="F17" i="67" l="1"/>
  <c r="H17" i="67" s="1"/>
  <c r="F16" i="67"/>
  <c r="H16" i="67" s="1"/>
  <c r="F15" i="67"/>
  <c r="H15" i="67" s="1"/>
  <c r="F14" i="67"/>
  <c r="H14" i="67" s="1"/>
  <c r="F13" i="67"/>
  <c r="H13" i="67" s="1"/>
  <c r="F12" i="67"/>
  <c r="H12" i="67" l="1"/>
  <c r="F9" i="67"/>
  <c r="H9" i="67" s="1"/>
  <c r="E13" i="72"/>
  <c r="E15" i="72"/>
  <c r="E14" i="72" l="1"/>
  <c r="C61" i="32" l="1"/>
  <c r="E35" i="28"/>
  <c r="D35" i="28"/>
  <c r="C35" i="28"/>
  <c r="E34" i="28"/>
  <c r="D34" i="28"/>
  <c r="C34" i="28"/>
  <c r="E33" i="28"/>
  <c r="D33" i="28"/>
  <c r="C33" i="28"/>
  <c r="E32" i="28"/>
  <c r="D32" i="28"/>
  <c r="C32" i="28"/>
  <c r="E31" i="28"/>
  <c r="D31" i="28"/>
  <c r="C31" i="28"/>
  <c r="E23" i="28"/>
  <c r="D23" i="28"/>
  <c r="C23" i="28"/>
  <c r="E22" i="28"/>
  <c r="D22" i="28"/>
  <c r="C22" i="28"/>
  <c r="E21" i="28"/>
  <c r="D21" i="28"/>
  <c r="C21" i="28"/>
  <c r="E20" i="28"/>
  <c r="D20" i="28"/>
  <c r="C20" i="28"/>
  <c r="E19" i="28"/>
  <c r="D19" i="28"/>
  <c r="C19" i="28"/>
  <c r="E18" i="28"/>
  <c r="D18" i="28"/>
  <c r="C18" i="28"/>
  <c r="I25" i="16" l="1"/>
  <c r="C13" i="34" l="1"/>
  <c r="C12" i="34"/>
  <c r="C10" i="34"/>
  <c r="C9" i="34"/>
  <c r="C11" i="34" l="1"/>
  <c r="C95" i="46"/>
  <c r="C96" i="46"/>
  <c r="C97" i="46"/>
  <c r="E34" i="45"/>
  <c r="C34" i="45"/>
  <c r="C91" i="46" l="1"/>
  <c r="A4" i="77"/>
  <c r="A1" i="77"/>
  <c r="B33" i="77"/>
  <c r="B31" i="77"/>
  <c r="C33" i="77" l="1"/>
  <c r="C31" i="77"/>
  <c r="C27" i="77"/>
  <c r="C25" i="77"/>
  <c r="A28" i="77"/>
  <c r="A27" i="77"/>
  <c r="A25" i="77"/>
  <c r="A16" i="77"/>
  <c r="C22" i="77"/>
  <c r="C11" i="77"/>
  <c r="K17" i="34" l="1"/>
  <c r="K18" i="34" l="1"/>
  <c r="G8" i="34"/>
  <c r="E246" i="8"/>
  <c r="E251" i="8"/>
  <c r="G16" i="34" l="1"/>
  <c r="G20" i="34" s="1"/>
  <c r="C61" i="22" l="1"/>
  <c r="C47" i="22"/>
  <c r="C43" i="22"/>
  <c r="C34" i="22"/>
  <c r="C26" i="22"/>
  <c r="C18" i="22"/>
  <c r="E16" i="8" l="1"/>
  <c r="C75" i="32" l="1"/>
  <c r="B15" i="32" l="1"/>
  <c r="C91" i="32" l="1"/>
  <c r="C69" i="32"/>
  <c r="C64" i="32"/>
  <c r="B74" i="32"/>
  <c r="E19" i="2" s="1"/>
  <c r="C58" i="32"/>
  <c r="C57" i="32"/>
  <c r="C55" i="32"/>
  <c r="C47" i="32"/>
  <c r="C46" i="32"/>
  <c r="C45" i="32"/>
  <c r="C44" i="32" l="1"/>
  <c r="C43" i="32"/>
  <c r="C42" i="32"/>
  <c r="A1" i="32" l="1"/>
  <c r="G108" i="8" l="1"/>
  <c r="G109" i="8"/>
  <c r="G117" i="8"/>
  <c r="G234" i="8"/>
  <c r="G232" i="8"/>
  <c r="H23" i="20"/>
  <c r="H19" i="20"/>
  <c r="H15" i="20"/>
  <c r="E34" i="14" l="1"/>
  <c r="D34" i="14"/>
  <c r="E255" i="8" l="1"/>
  <c r="D15" i="70"/>
  <c r="D13" i="70" s="1"/>
  <c r="D12" i="22"/>
  <c r="E22" i="20" l="1"/>
  <c r="E18" i="20"/>
  <c r="E14" i="20"/>
  <c r="E18" i="22" l="1"/>
  <c r="E34" i="22"/>
  <c r="E13" i="70"/>
  <c r="H15" i="70"/>
  <c r="E15" i="60"/>
  <c r="C15" i="60"/>
  <c r="A70" i="22"/>
  <c r="A54" i="21"/>
  <c r="E94" i="8"/>
  <c r="C39" i="22" l="1"/>
  <c r="G18" i="6"/>
  <c r="D14" i="20" l="1"/>
  <c r="D12" i="20" s="1"/>
  <c r="D23" i="70" l="1"/>
  <c r="D19" i="70"/>
  <c r="H19" i="70" s="1"/>
  <c r="D60" i="22"/>
  <c r="D54" i="22"/>
  <c r="D38" i="22"/>
  <c r="D34" i="22" s="1"/>
  <c r="D36" i="22"/>
  <c r="H23" i="70" l="1"/>
  <c r="D15" i="60"/>
  <c r="K22" i="16" l="1"/>
  <c r="L25" i="16" l="1"/>
  <c r="L37" i="16" s="1"/>
  <c r="M25" i="16"/>
  <c r="K25" i="16"/>
  <c r="K37" i="16" s="1"/>
  <c r="K38" i="16" s="1"/>
  <c r="O23" i="16"/>
  <c r="N34" i="16"/>
  <c r="N35" i="16"/>
  <c r="N36" i="16"/>
  <c r="N30" i="16"/>
  <c r="N31" i="16"/>
  <c r="N32" i="16"/>
  <c r="N33" i="16"/>
  <c r="N25" i="16" s="1"/>
  <c r="M37" i="16" l="1"/>
  <c r="G17" i="66" l="1"/>
  <c r="I17" i="66" s="1"/>
  <c r="G16" i="66"/>
  <c r="I16" i="66" s="1"/>
  <c r="G15" i="66"/>
  <c r="I15" i="66" s="1"/>
  <c r="G14" i="66"/>
  <c r="I14" i="66" s="1"/>
  <c r="G13" i="66"/>
  <c r="I13" i="66" s="1"/>
  <c r="G12" i="66"/>
  <c r="I12" i="66" s="1"/>
  <c r="G11" i="66"/>
  <c r="E6" i="56"/>
  <c r="F6" i="56"/>
  <c r="G6" i="56"/>
  <c r="D6" i="56"/>
  <c r="I11" i="66" l="1"/>
  <c r="G8" i="66"/>
  <c r="I8" i="66" s="1"/>
  <c r="C14" i="22"/>
  <c r="K102" i="40"/>
  <c r="H12" i="34"/>
  <c r="J154" i="40"/>
  <c r="R154" i="40" s="1"/>
  <c r="H154" i="40" l="1"/>
  <c r="E131" i="37"/>
  <c r="K154" i="40" s="1"/>
  <c r="S102" i="40"/>
  <c r="H102" i="40"/>
  <c r="Q102" i="40" s="1"/>
  <c r="H238" i="40"/>
  <c r="K238" i="40"/>
  <c r="O238" i="40" s="1"/>
  <c r="T238" i="40" l="1"/>
  <c r="T154" i="40"/>
  <c r="O154" i="40"/>
  <c r="S154" i="40"/>
  <c r="S238" i="40"/>
  <c r="L154" i="40"/>
  <c r="U154" i="40" s="1"/>
  <c r="L102" i="40"/>
  <c r="U102" i="40" s="1"/>
  <c r="L238" i="40"/>
  <c r="U238" i="40" s="1"/>
  <c r="K55" i="40"/>
  <c r="O55" i="40" s="1"/>
  <c r="K56" i="40"/>
  <c r="S55" i="40" l="1"/>
  <c r="S56" i="40"/>
  <c r="H55" i="40"/>
  <c r="Q55" i="40" s="1"/>
  <c r="H56" i="40"/>
  <c r="Q56" i="40" l="1"/>
  <c r="H29" i="11"/>
  <c r="L56" i="40"/>
  <c r="L55" i="40"/>
  <c r="I10" i="76"/>
  <c r="K10" i="76" s="1"/>
  <c r="N55" i="40" l="1"/>
  <c r="U55" i="40"/>
  <c r="N56" i="40"/>
  <c r="U56" i="40"/>
  <c r="H104" i="9"/>
  <c r="H105" i="9"/>
  <c r="G109" i="9"/>
  <c r="H110" i="9" l="1"/>
  <c r="H111" i="9"/>
  <c r="D34" i="9" l="1"/>
  <c r="C34" i="9"/>
  <c r="K36" i="7" l="1"/>
  <c r="D39" i="7"/>
  <c r="D64" i="7" s="1"/>
  <c r="K39" i="7" l="1"/>
  <c r="K64" i="7" s="1"/>
  <c r="J39" i="7"/>
  <c r="J64" i="7" s="1"/>
  <c r="E105" i="9" l="1"/>
  <c r="J105" i="9" s="1"/>
  <c r="E109" i="9"/>
  <c r="E110" i="9"/>
  <c r="J110" i="9" s="1"/>
  <c r="E111" i="9"/>
  <c r="J111" i="9" s="1"/>
  <c r="D109" i="9"/>
  <c r="C109" i="9"/>
  <c r="D105" i="33"/>
  <c r="D101" i="33" s="1"/>
  <c r="E107" i="33"/>
  <c r="E99" i="33"/>
  <c r="E103" i="33"/>
  <c r="E104" i="33"/>
  <c r="E106" i="33"/>
  <c r="H109" i="9" l="1"/>
  <c r="J109" i="9" s="1"/>
  <c r="E105" i="33"/>
  <c r="F17" i="46" l="1"/>
  <c r="E17" i="46"/>
  <c r="C17" i="46"/>
  <c r="E95" i="46"/>
  <c r="L95" i="46" s="1"/>
  <c r="F95" i="46"/>
  <c r="M95" i="46" s="1"/>
  <c r="E96" i="46"/>
  <c r="F96" i="46"/>
  <c r="E97" i="46"/>
  <c r="L97" i="46" s="1"/>
  <c r="F97" i="46"/>
  <c r="M97" i="46" s="1"/>
  <c r="L98" i="46"/>
  <c r="M98" i="46"/>
  <c r="B95" i="46"/>
  <c r="K95" i="46" s="1"/>
  <c r="B96" i="46"/>
  <c r="K96" i="46" s="1"/>
  <c r="B97" i="46"/>
  <c r="K97" i="46" s="1"/>
  <c r="K98" i="46"/>
  <c r="F24" i="46"/>
  <c r="F28" i="46"/>
  <c r="F50" i="46"/>
  <c r="F51" i="46"/>
  <c r="F58" i="46"/>
  <c r="M58" i="46" s="1"/>
  <c r="F64" i="46"/>
  <c r="F60" i="46" s="1"/>
  <c r="F86" i="46"/>
  <c r="E86" i="46"/>
  <c r="E64" i="46"/>
  <c r="E60" i="46" s="1"/>
  <c r="E58" i="46"/>
  <c r="L58" i="46" s="1"/>
  <c r="E51" i="46"/>
  <c r="E50" i="46"/>
  <c r="E28" i="46"/>
  <c r="E24" i="46"/>
  <c r="C86" i="46"/>
  <c r="B86" i="46"/>
  <c r="C64" i="46"/>
  <c r="C60" i="46" s="1"/>
  <c r="B64" i="46"/>
  <c r="C50" i="46"/>
  <c r="C51" i="46"/>
  <c r="C58" i="46"/>
  <c r="B58" i="46"/>
  <c r="K58" i="46" s="1"/>
  <c r="B51" i="46"/>
  <c r="B50" i="46"/>
  <c r="C24" i="46"/>
  <c r="C28" i="46"/>
  <c r="B24" i="46"/>
  <c r="B28" i="46"/>
  <c r="E45" i="46" l="1"/>
  <c r="B45" i="46"/>
  <c r="F45" i="46"/>
  <c r="C45" i="46"/>
  <c r="K50" i="46"/>
  <c r="M96" i="46"/>
  <c r="F91" i="46"/>
  <c r="M50" i="46"/>
  <c r="L96" i="46"/>
  <c r="E91" i="46"/>
  <c r="L50" i="46"/>
  <c r="E16" i="46"/>
  <c r="E10" i="46"/>
  <c r="E9" i="46" s="1"/>
  <c r="F16" i="46"/>
  <c r="F10" i="46"/>
  <c r="F9" i="46" s="1"/>
  <c r="E101" i="46" l="1"/>
  <c r="F101" i="46"/>
  <c r="C211" i="40"/>
  <c r="C190" i="40" l="1"/>
  <c r="C24" i="48" s="1"/>
  <c r="F211" i="40"/>
  <c r="E211" i="40"/>
  <c r="D211" i="40"/>
  <c r="C16" i="20" l="1"/>
  <c r="D47" i="20"/>
  <c r="D190" i="40"/>
  <c r="E47" i="20" s="1"/>
  <c r="F190" i="40"/>
  <c r="E48" i="20" s="1"/>
  <c r="E190" i="40"/>
  <c r="C25" i="48" s="1"/>
  <c r="D21" i="70"/>
  <c r="D16" i="55"/>
  <c r="D15" i="55" s="1"/>
  <c r="C16" i="55"/>
  <c r="C15" i="55" s="1"/>
  <c r="D48" i="20" l="1"/>
  <c r="A29" i="76"/>
  <c r="B32" i="54"/>
  <c r="B30" i="52"/>
  <c r="A22" i="73"/>
  <c r="A29" i="69"/>
  <c r="A314" i="40"/>
  <c r="A283" i="37"/>
  <c r="A291" i="83" s="1"/>
  <c r="A35" i="36"/>
  <c r="B24" i="34"/>
  <c r="A26" i="72"/>
  <c r="A112" i="33"/>
  <c r="A169" i="58"/>
  <c r="A117" i="9"/>
  <c r="B308" i="8"/>
  <c r="A102" i="11"/>
  <c r="C216" i="75" l="1"/>
  <c r="E247" i="8" l="1"/>
  <c r="I18" i="34"/>
  <c r="E26" i="45" l="1"/>
  <c r="E27" i="45"/>
  <c r="E25" i="45" l="1"/>
  <c r="G39" i="7"/>
  <c r="F34" i="76" l="1"/>
  <c r="F32" i="76"/>
  <c r="A34" i="76"/>
  <c r="A32" i="76"/>
  <c r="D58" i="2"/>
  <c r="D56" i="2"/>
  <c r="F28" i="76"/>
  <c r="A28" i="76"/>
  <c r="F26" i="76"/>
  <c r="A26" i="76"/>
  <c r="K21" i="76"/>
  <c r="A5" i="76" l="1"/>
  <c r="A1" i="76"/>
  <c r="I24" i="76"/>
  <c r="L24" i="76" s="1"/>
  <c r="K24" i="76" l="1"/>
  <c r="B91" i="46"/>
  <c r="E49" i="45"/>
  <c r="E48" i="45" s="1"/>
  <c r="E45" i="45"/>
  <c r="E37" i="45"/>
  <c r="E36" i="45" s="1"/>
  <c r="E33" i="45"/>
  <c r="E32" i="45" s="1"/>
  <c r="C37" i="45"/>
  <c r="C36" i="45" s="1"/>
  <c r="C33" i="45"/>
  <c r="C32" i="45" s="1"/>
  <c r="C45" i="45"/>
  <c r="C49" i="45"/>
  <c r="C48" i="45" s="1"/>
  <c r="D28" i="9" l="1"/>
  <c r="C28" i="9"/>
  <c r="I103" i="9"/>
  <c r="I102" i="9" s="1"/>
  <c r="F97" i="9"/>
  <c r="D103" i="9"/>
  <c r="D102" i="9" s="1"/>
  <c r="C103" i="9"/>
  <c r="C102" i="9" s="1"/>
  <c r="D9" i="22" l="1"/>
  <c r="E247" i="37"/>
  <c r="K270" i="40" s="1"/>
  <c r="O270" i="40" s="1"/>
  <c r="D52" i="22"/>
  <c r="G52" i="22" s="1"/>
  <c r="C52" i="22"/>
  <c r="K262" i="40"/>
  <c r="O262" i="40" s="1"/>
  <c r="K257" i="40"/>
  <c r="O257" i="40" s="1"/>
  <c r="K237" i="40"/>
  <c r="O237" i="40" s="1"/>
  <c r="K236" i="40"/>
  <c r="K232" i="40"/>
  <c r="O232" i="40" s="1"/>
  <c r="O236" i="40" l="1"/>
  <c r="K235" i="40"/>
  <c r="O235" i="40" s="1"/>
  <c r="S237" i="40"/>
  <c r="S232" i="40"/>
  <c r="S270" i="40"/>
  <c r="S262" i="40"/>
  <c r="S257" i="40"/>
  <c r="E236" i="37"/>
  <c r="C9" i="22"/>
  <c r="E20" i="20"/>
  <c r="H270" i="40"/>
  <c r="H262" i="40"/>
  <c r="T262" i="40" s="1"/>
  <c r="H257" i="40"/>
  <c r="H237" i="40"/>
  <c r="T237" i="40" s="1"/>
  <c r="H232" i="40"/>
  <c r="T232" i="40" s="1"/>
  <c r="T257" i="40" l="1"/>
  <c r="T270" i="40"/>
  <c r="S236" i="40"/>
  <c r="L237" i="40"/>
  <c r="U237" i="40" s="1"/>
  <c r="L262" i="40"/>
  <c r="U262" i="40" s="1"/>
  <c r="H236" i="40"/>
  <c r="L270" i="40"/>
  <c r="U270" i="40" s="1"/>
  <c r="L257" i="40"/>
  <c r="L232" i="40"/>
  <c r="U232" i="40" s="1"/>
  <c r="U257" i="40" l="1"/>
  <c r="T236" i="40"/>
  <c r="H235" i="40"/>
  <c r="S235" i="40"/>
  <c r="L236" i="40"/>
  <c r="L235" i="40" s="1"/>
  <c r="D157" i="37"/>
  <c r="C157" i="37"/>
  <c r="C130" i="37" s="1"/>
  <c r="K186" i="40"/>
  <c r="O186" i="40" s="1"/>
  <c r="T235" i="40" l="1"/>
  <c r="I21" i="10"/>
  <c r="F157" i="83"/>
  <c r="G157" i="83" s="1"/>
  <c r="D157" i="82"/>
  <c r="E157" i="82" s="1"/>
  <c r="E12" i="20"/>
  <c r="U235" i="40"/>
  <c r="U236" i="40"/>
  <c r="S186" i="40"/>
  <c r="D130" i="37"/>
  <c r="E157" i="37"/>
  <c r="H186" i="40"/>
  <c r="T186" i="40" s="1"/>
  <c r="F130" i="83" l="1"/>
  <c r="G130" i="83" s="1"/>
  <c r="D130" i="82"/>
  <c r="E130" i="82" s="1"/>
  <c r="E130" i="37"/>
  <c r="L186" i="40"/>
  <c r="U186" i="40" s="1"/>
  <c r="E69" i="9" l="1"/>
  <c r="E62" i="9"/>
  <c r="E56" i="9"/>
  <c r="J18" i="34" l="1"/>
  <c r="H103" i="9" l="1"/>
  <c r="H102" i="9" s="1"/>
  <c r="C101" i="33" l="1"/>
  <c r="E102" i="33"/>
  <c r="E101" i="33" s="1"/>
  <c r="E68" i="37" l="1"/>
  <c r="E17" i="45"/>
  <c r="E14" i="45"/>
  <c r="E15" i="45"/>
  <c r="E11" i="45" l="1"/>
  <c r="F103" i="40"/>
  <c r="D103" i="40"/>
  <c r="C103" i="40"/>
  <c r="A1" i="75" l="1"/>
  <c r="F6" i="11"/>
  <c r="F6" i="12" s="1"/>
  <c r="E6" i="11"/>
  <c r="E6" i="12" s="1"/>
  <c r="D6" i="11"/>
  <c r="D6" i="12" s="1"/>
  <c r="C6" i="11"/>
  <c r="C6" i="12" s="1"/>
  <c r="C6" i="24" l="1"/>
  <c r="E6" i="24"/>
  <c r="F6" i="24"/>
  <c r="D6" i="24"/>
  <c r="I34" i="9"/>
  <c r="D33" i="9"/>
  <c r="E39" i="9"/>
  <c r="F34" i="9"/>
  <c r="G34" i="9"/>
  <c r="H39" i="9"/>
  <c r="E34" i="9" l="1"/>
  <c r="J39" i="9"/>
  <c r="D33" i="33"/>
  <c r="E38" i="33"/>
  <c r="B42" i="25" l="1"/>
  <c r="A216" i="75" l="1"/>
  <c r="E81" i="33" l="1"/>
  <c r="E82" i="33"/>
  <c r="C15" i="41" l="1"/>
  <c r="E39" i="22" l="1"/>
  <c r="D17" i="70" l="1"/>
  <c r="K230" i="40" l="1"/>
  <c r="O230" i="40" s="1"/>
  <c r="K105" i="40"/>
  <c r="O105" i="40" s="1"/>
  <c r="K104" i="40"/>
  <c r="O104" i="40" s="1"/>
  <c r="K97" i="40"/>
  <c r="O97" i="40" s="1"/>
  <c r="K100" i="40"/>
  <c r="O100" i="40" s="1"/>
  <c r="K101" i="40"/>
  <c r="O101" i="40" s="1"/>
  <c r="K96" i="40"/>
  <c r="O96" i="40" s="1"/>
  <c r="K93" i="40"/>
  <c r="O93" i="40" s="1"/>
  <c r="K94" i="40"/>
  <c r="O94" i="40" s="1"/>
  <c r="S230" i="40" l="1"/>
  <c r="S100" i="40"/>
  <c r="S101" i="40"/>
  <c r="S105" i="40"/>
  <c r="S94" i="40"/>
  <c r="S97" i="40"/>
  <c r="S93" i="40"/>
  <c r="S104" i="40"/>
  <c r="H97" i="40"/>
  <c r="Q97" i="40" s="1"/>
  <c r="H93" i="40"/>
  <c r="Q93" i="40" s="1"/>
  <c r="H104" i="40"/>
  <c r="Q104" i="40" s="1"/>
  <c r="H105" i="40"/>
  <c r="Q105" i="40" s="1"/>
  <c r="H94" i="40"/>
  <c r="Q94" i="40" s="1"/>
  <c r="H101" i="40"/>
  <c r="Q101" i="40" s="1"/>
  <c r="H100" i="40"/>
  <c r="Q100" i="40" s="1"/>
  <c r="D80" i="37"/>
  <c r="C80" i="37"/>
  <c r="D80" i="82" l="1"/>
  <c r="E80" i="82" s="1"/>
  <c r="F80" i="83"/>
  <c r="G80" i="83" s="1"/>
  <c r="E80" i="37"/>
  <c r="T97" i="40"/>
  <c r="L104" i="40"/>
  <c r="U104" i="40" s="1"/>
  <c r="T104" i="40"/>
  <c r="L97" i="40"/>
  <c r="U97" i="40" s="1"/>
  <c r="L93" i="40"/>
  <c r="U93" i="40" s="1"/>
  <c r="L105" i="40"/>
  <c r="U105" i="40" s="1"/>
  <c r="T93" i="40"/>
  <c r="T105" i="40"/>
  <c r="T94" i="40"/>
  <c r="L100" i="40"/>
  <c r="U100" i="40" s="1"/>
  <c r="T101" i="40"/>
  <c r="L101" i="40"/>
  <c r="U101" i="40" s="1"/>
  <c r="T100" i="40"/>
  <c r="M103" i="40"/>
  <c r="E103" i="40"/>
  <c r="G103" i="40"/>
  <c r="G61" i="11" s="1"/>
  <c r="G59" i="11" s="1"/>
  <c r="G58" i="11" s="1"/>
  <c r="H103" i="40"/>
  <c r="H61" i="11" s="1"/>
  <c r="I103" i="40"/>
  <c r="J103" i="40"/>
  <c r="R103" i="40" s="1"/>
  <c r="K103" i="40"/>
  <c r="O103" i="40" s="1"/>
  <c r="P103" i="40" l="1"/>
  <c r="S103" i="40"/>
  <c r="Q103" i="40"/>
  <c r="L103" i="40"/>
  <c r="U103" i="40" s="1"/>
  <c r="T103" i="40"/>
  <c r="H230" i="40"/>
  <c r="T230" i="40" s="1"/>
  <c r="L230" i="40" l="1"/>
  <c r="U230" i="40" s="1"/>
  <c r="D8" i="55"/>
  <c r="C8" i="55"/>
  <c r="B85" i="43"/>
  <c r="A58" i="21" l="1"/>
  <c r="A56" i="21"/>
  <c r="A4" i="18"/>
  <c r="A5" i="17"/>
  <c r="A5" i="16"/>
  <c r="A7" i="15"/>
  <c r="D6" i="69"/>
  <c r="E6" i="69"/>
  <c r="F6" i="69"/>
  <c r="C6" i="69"/>
  <c r="G9" i="7" l="1"/>
  <c r="G12" i="24" l="1"/>
  <c r="H15" i="56" s="1"/>
  <c r="C17" i="45" l="1"/>
  <c r="C14" i="45"/>
  <c r="C15" i="45"/>
  <c r="H95" i="46"/>
  <c r="N95" i="46" s="1"/>
  <c r="C11" i="45" l="1"/>
  <c r="M90" i="40"/>
  <c r="F90" i="40"/>
  <c r="F89" i="40" l="1"/>
  <c r="I147" i="40"/>
  <c r="M89" i="40"/>
  <c r="C53" i="32" s="1"/>
  <c r="E90" i="40"/>
  <c r="D90" i="40"/>
  <c r="J147" i="40" l="1"/>
  <c r="R147" i="40" s="1"/>
  <c r="H152" i="40"/>
  <c r="H151" i="40"/>
  <c r="H184" i="40"/>
  <c r="H143" i="40"/>
  <c r="H142" i="40"/>
  <c r="D67" i="37"/>
  <c r="K184" i="40"/>
  <c r="O184" i="40" s="1"/>
  <c r="D124" i="37"/>
  <c r="C124" i="37"/>
  <c r="C115" i="37" s="1"/>
  <c r="K151" i="40"/>
  <c r="O151" i="40" s="1"/>
  <c r="K152" i="40"/>
  <c r="O152" i="40" s="1"/>
  <c r="K142" i="40"/>
  <c r="O142" i="40" s="1"/>
  <c r="K143" i="40"/>
  <c r="O143" i="40" s="1"/>
  <c r="F124" i="83" l="1"/>
  <c r="G124" i="83" s="1"/>
  <c r="D124" i="82"/>
  <c r="E124" i="82" s="1"/>
  <c r="D67" i="82"/>
  <c r="E67" i="82" s="1"/>
  <c r="F67" i="83"/>
  <c r="G67" i="83" s="1"/>
  <c r="S151" i="40"/>
  <c r="T142" i="40"/>
  <c r="T152" i="40"/>
  <c r="S184" i="40"/>
  <c r="T143" i="40"/>
  <c r="S143" i="40"/>
  <c r="T184" i="40"/>
  <c r="S152" i="40"/>
  <c r="S142" i="40"/>
  <c r="T151" i="40"/>
  <c r="D115" i="37"/>
  <c r="E124" i="37"/>
  <c r="G147" i="40"/>
  <c r="P147" i="40" s="1"/>
  <c r="K147" i="40"/>
  <c r="O147" i="40" s="1"/>
  <c r="H147" i="40"/>
  <c r="L151" i="40"/>
  <c r="U151" i="40" s="1"/>
  <c r="L152" i="40"/>
  <c r="U152" i="40" s="1"/>
  <c r="D66" i="37"/>
  <c r="L184" i="40"/>
  <c r="U184" i="40" s="1"/>
  <c r="L142" i="40"/>
  <c r="U142" i="40" s="1"/>
  <c r="L143" i="40"/>
  <c r="U143" i="40" s="1"/>
  <c r="A1" i="50"/>
  <c r="F115" i="83" l="1"/>
  <c r="G115" i="83" s="1"/>
  <c r="D115" i="82"/>
  <c r="E115" i="82" s="1"/>
  <c r="F66" i="83"/>
  <c r="G66" i="83" s="1"/>
  <c r="D66" i="82"/>
  <c r="E66" i="82" s="1"/>
  <c r="S147" i="40"/>
  <c r="T147" i="40"/>
  <c r="E115" i="37"/>
  <c r="L147" i="40"/>
  <c r="U147" i="40" s="1"/>
  <c r="H95" i="9" l="1"/>
  <c r="H96" i="9"/>
  <c r="H98" i="9"/>
  <c r="H99" i="9"/>
  <c r="E95" i="9"/>
  <c r="E96" i="9"/>
  <c r="E98" i="9"/>
  <c r="E99" i="9"/>
  <c r="F94" i="9"/>
  <c r="E94" i="9" s="1"/>
  <c r="E97" i="9"/>
  <c r="D97" i="9"/>
  <c r="D94" i="9"/>
  <c r="C97" i="9"/>
  <c r="C94" i="9"/>
  <c r="D93" i="9" l="1"/>
  <c r="F93" i="9"/>
  <c r="C93" i="9"/>
  <c r="J98" i="9"/>
  <c r="J96" i="9"/>
  <c r="J95" i="9"/>
  <c r="E93" i="9"/>
  <c r="J99" i="9"/>
  <c r="A1" i="54" l="1"/>
  <c r="A1" i="52"/>
  <c r="A1" i="53"/>
  <c r="K61" i="11" l="1"/>
  <c r="F61" i="11"/>
  <c r="E61" i="11"/>
  <c r="D61" i="11"/>
  <c r="C61" i="11"/>
  <c r="D15" i="73" l="1"/>
  <c r="C15" i="73"/>
  <c r="C26" i="73"/>
  <c r="C24" i="73"/>
  <c r="C21" i="73"/>
  <c r="C19" i="73"/>
  <c r="A26" i="73"/>
  <c r="A24" i="73"/>
  <c r="A21" i="73"/>
  <c r="A19" i="73"/>
  <c r="B10" i="73"/>
  <c r="A2" i="73"/>
  <c r="P16" i="3" l="1"/>
  <c r="C32" i="72"/>
  <c r="C30" i="72"/>
  <c r="A32" i="72"/>
  <c r="A30" i="72"/>
  <c r="C25" i="72"/>
  <c r="C23" i="72"/>
  <c r="A25" i="72"/>
  <c r="A23" i="72"/>
  <c r="D12" i="72"/>
  <c r="C12" i="72"/>
  <c r="C11" i="72" s="1"/>
  <c r="C10" i="72" s="1"/>
  <c r="C9" i="72" s="1"/>
  <c r="A4" i="72"/>
  <c r="A1" i="72"/>
  <c r="D11" i="72" l="1"/>
  <c r="E12" i="72"/>
  <c r="A5" i="67"/>
  <c r="A5" i="66"/>
  <c r="B9" i="41"/>
  <c r="A5" i="54"/>
  <c r="A8" i="53"/>
  <c r="D10" i="72" l="1"/>
  <c r="E11" i="72"/>
  <c r="A5" i="52"/>
  <c r="A5" i="42"/>
  <c r="A3" i="69"/>
  <c r="A3" i="40"/>
  <c r="M107" i="40"/>
  <c r="C40" i="32" s="1"/>
  <c r="K110" i="40"/>
  <c r="O110" i="40" s="1"/>
  <c r="K95" i="40"/>
  <c r="O95" i="40" s="1"/>
  <c r="C90" i="40"/>
  <c r="D107" i="40"/>
  <c r="E107" i="40"/>
  <c r="F107" i="40"/>
  <c r="C107" i="40"/>
  <c r="E10" i="72" l="1"/>
  <c r="D9" i="72"/>
  <c r="E9" i="72" s="1"/>
  <c r="S95" i="40"/>
  <c r="S96" i="40"/>
  <c r="S110" i="40"/>
  <c r="I61" i="11"/>
  <c r="H110" i="40"/>
  <c r="Q110" i="40" s="1"/>
  <c r="H96" i="40"/>
  <c r="Q96" i="40" s="1"/>
  <c r="H95" i="40"/>
  <c r="A4" i="37"/>
  <c r="A4" i="83" s="1"/>
  <c r="A6" i="36"/>
  <c r="A3" i="35"/>
  <c r="B3" i="34"/>
  <c r="A4" i="33"/>
  <c r="A3" i="58"/>
  <c r="A5" i="30"/>
  <c r="A5" i="28"/>
  <c r="A5" i="27"/>
  <c r="B5" i="25"/>
  <c r="A3" i="24"/>
  <c r="A3" i="12"/>
  <c r="A3" i="11"/>
  <c r="B3" i="56"/>
  <c r="B3" i="10"/>
  <c r="A4" i="55"/>
  <c r="A4" i="9"/>
  <c r="A6" i="8"/>
  <c r="A5" i="5"/>
  <c r="A6" i="4"/>
  <c r="A6" i="3"/>
  <c r="A4" i="2"/>
  <c r="D84" i="37"/>
  <c r="C84" i="37"/>
  <c r="C67" i="37"/>
  <c r="E67" i="37" s="1"/>
  <c r="F84" i="83" l="1"/>
  <c r="G84" i="83" s="1"/>
  <c r="D84" i="82"/>
  <c r="E84" i="82" s="1"/>
  <c r="Q95" i="40"/>
  <c r="E84" i="37"/>
  <c r="T95" i="40"/>
  <c r="L96" i="40"/>
  <c r="U96" i="40" s="1"/>
  <c r="T96" i="40"/>
  <c r="T110" i="40"/>
  <c r="L110" i="40"/>
  <c r="U110" i="40" s="1"/>
  <c r="J61" i="11"/>
  <c r="L94" i="40"/>
  <c r="U94" i="40" s="1"/>
  <c r="L95" i="40"/>
  <c r="E103" i="8"/>
  <c r="U95" i="40" l="1"/>
  <c r="D12" i="24"/>
  <c r="C12" i="24"/>
  <c r="G19" i="56" l="1"/>
  <c r="F19" i="56"/>
  <c r="E32" i="8" l="1"/>
  <c r="E100" i="9" l="1"/>
  <c r="H92" i="9"/>
  <c r="E91" i="9"/>
  <c r="E92" i="9"/>
  <c r="E104" i="9"/>
  <c r="J104" i="9" s="1"/>
  <c r="J92" i="9" l="1"/>
  <c r="E13" i="55"/>
  <c r="F13" i="55"/>
  <c r="F12" i="55" s="1"/>
  <c r="G13" i="55"/>
  <c r="H13" i="55"/>
  <c r="I13" i="55"/>
  <c r="D13" i="55"/>
  <c r="D12" i="55" s="1"/>
  <c r="C13" i="55"/>
  <c r="C12" i="55" s="1"/>
  <c r="I12" i="55" l="1"/>
  <c r="E12" i="55"/>
  <c r="G12" i="55"/>
  <c r="H12" i="55"/>
  <c r="J14" i="55"/>
  <c r="J13" i="55" l="1"/>
  <c r="D16" i="22"/>
  <c r="D14" i="22" s="1"/>
  <c r="D20" i="22"/>
  <c r="D18" i="22" s="1"/>
  <c r="J12" i="55" l="1"/>
  <c r="E198" i="8"/>
  <c r="C24" i="3"/>
  <c r="C25" i="3"/>
  <c r="A28" i="67" l="1"/>
  <c r="A26" i="67"/>
  <c r="B28" i="66"/>
  <c r="B26" i="66"/>
  <c r="B37" i="54"/>
  <c r="B35" i="54"/>
  <c r="B27" i="53"/>
  <c r="B25" i="53"/>
  <c r="B34" i="52"/>
  <c r="B32" i="52"/>
  <c r="A33" i="42"/>
  <c r="A31" i="42"/>
  <c r="A36" i="41"/>
  <c r="A34" i="41"/>
  <c r="A35" i="69"/>
  <c r="A33" i="69"/>
  <c r="A320" i="40"/>
  <c r="A318" i="40"/>
  <c r="A289" i="37"/>
  <c r="A287" i="37"/>
  <c r="A40" i="36"/>
  <c r="A38" i="36"/>
  <c r="A35" i="35"/>
  <c r="A33" i="35"/>
  <c r="B27" i="34"/>
  <c r="B26" i="34"/>
  <c r="A116" i="33"/>
  <c r="A114" i="33"/>
  <c r="A107" i="32"/>
  <c r="A105" i="32"/>
  <c r="A175" i="58"/>
  <c r="A173" i="58"/>
  <c r="A30" i="30"/>
  <c r="A28" i="30"/>
  <c r="A112" i="28"/>
  <c r="A110" i="28"/>
  <c r="A112" i="27"/>
  <c r="A110" i="27"/>
  <c r="B49" i="25"/>
  <c r="B47" i="25"/>
  <c r="A83" i="60"/>
  <c r="A81" i="60"/>
  <c r="A91" i="70"/>
  <c r="A89" i="70"/>
  <c r="A33" i="23"/>
  <c r="A31" i="23"/>
  <c r="A76" i="22"/>
  <c r="A74" i="22"/>
  <c r="A70" i="20"/>
  <c r="A68" i="20"/>
  <c r="A62" i="19"/>
  <c r="A60" i="19"/>
  <c r="C62" i="19"/>
  <c r="C60" i="19"/>
  <c r="M42" i="18"/>
  <c r="M40" i="18"/>
  <c r="D42" i="18"/>
  <c r="D40" i="18"/>
  <c r="J43" i="17"/>
  <c r="J41" i="17"/>
  <c r="B43" i="17"/>
  <c r="B41" i="17"/>
  <c r="E46" i="16"/>
  <c r="E44" i="16"/>
  <c r="A51" i="15"/>
  <c r="A49" i="15"/>
  <c r="A43" i="14"/>
  <c r="A27" i="24" l="1"/>
  <c r="A25" i="24"/>
  <c r="A96" i="12"/>
  <c r="A94" i="12"/>
  <c r="A112" i="11"/>
  <c r="A110" i="11"/>
  <c r="B31" i="56"/>
  <c r="B29" i="56"/>
  <c r="B50" i="10"/>
  <c r="B48" i="10"/>
  <c r="A121" i="9"/>
  <c r="A119" i="9"/>
  <c r="B312" i="8"/>
  <c r="B310" i="8"/>
  <c r="B80" i="63"/>
  <c r="B78" i="63"/>
  <c r="B80" i="64"/>
  <c r="B78" i="64"/>
  <c r="A75" i="7"/>
  <c r="A73" i="7"/>
  <c r="A32" i="6"/>
  <c r="A30" i="6"/>
  <c r="A51" i="5"/>
  <c r="A49" i="5"/>
  <c r="A40" i="4"/>
  <c r="A38" i="4"/>
  <c r="A40" i="3"/>
  <c r="A38" i="3"/>
  <c r="B58" i="2"/>
  <c r="A34" i="55" s="1"/>
  <c r="B56" i="2"/>
  <c r="A32" i="55" s="1"/>
  <c r="F12" i="24" l="1"/>
  <c r="E12" i="24"/>
  <c r="D15" i="41" l="1"/>
  <c r="I12" i="24" l="1"/>
  <c r="I11" i="24" s="1"/>
  <c r="I10" i="24" s="1"/>
  <c r="I9" i="24" s="1"/>
  <c r="I8" i="24" s="1"/>
  <c r="G11" i="24"/>
  <c r="G10" i="24" s="1"/>
  <c r="G9" i="24" s="1"/>
  <c r="G8" i="24" s="1"/>
  <c r="K12" i="24"/>
  <c r="K11" i="24" s="1"/>
  <c r="K10" i="24" s="1"/>
  <c r="K9" i="24" s="1"/>
  <c r="K8" i="24" s="1"/>
  <c r="L19" i="69"/>
  <c r="J12" i="24" s="1"/>
  <c r="J11" i="24" s="1"/>
  <c r="J10" i="24" s="1"/>
  <c r="J9" i="24" s="1"/>
  <c r="J8" i="24" s="1"/>
  <c r="H12" i="24" l="1"/>
  <c r="H11" i="24" s="1"/>
  <c r="H10" i="24" s="1"/>
  <c r="H9" i="24" s="1"/>
  <c r="H8" i="24" s="1"/>
  <c r="I9" i="34"/>
  <c r="E33" i="2" l="1"/>
  <c r="D83" i="60" l="1"/>
  <c r="D81" i="60"/>
  <c r="D91" i="70"/>
  <c r="D89" i="70"/>
  <c r="D33" i="23"/>
  <c r="D31" i="23"/>
  <c r="D76" i="22"/>
  <c r="D74" i="22"/>
  <c r="B61" i="21"/>
  <c r="B60" i="21"/>
  <c r="D68" i="20"/>
  <c r="D70" i="20"/>
  <c r="M46" i="16"/>
  <c r="M44" i="16"/>
  <c r="G51" i="15"/>
  <c r="G49" i="15"/>
  <c r="D43" i="14"/>
  <c r="D41" i="14"/>
  <c r="C36" i="14"/>
  <c r="L15" i="56" l="1"/>
  <c r="L14" i="56" s="1"/>
  <c r="K15" i="56"/>
  <c r="K14" i="56" s="1"/>
  <c r="J15" i="56"/>
  <c r="J14" i="56" s="1"/>
  <c r="I15" i="56"/>
  <c r="I14" i="56" s="1"/>
  <c r="H14" i="56"/>
  <c r="D63" i="22" l="1"/>
  <c r="D61" i="22" s="1"/>
  <c r="G61" i="22" s="1"/>
  <c r="D58" i="22"/>
  <c r="D49" i="22"/>
  <c r="D47" i="22" s="1"/>
  <c r="D45" i="22"/>
  <c r="D43" i="22" s="1"/>
  <c r="D41" i="22"/>
  <c r="D39" i="22" s="1"/>
  <c r="D28" i="22"/>
  <c r="D26" i="22" s="1"/>
  <c r="D24" i="22"/>
  <c r="D22" i="20"/>
  <c r="D20" i="20" s="1"/>
  <c r="D18" i="20"/>
  <c r="D16" i="20" s="1"/>
  <c r="C119" i="40" l="1"/>
  <c r="D85" i="70" l="1"/>
  <c r="N98" i="46" l="1"/>
  <c r="O187" i="40"/>
  <c r="S187" i="40" l="1"/>
  <c r="T187" i="40"/>
  <c r="K92" i="40"/>
  <c r="K91" i="40" s="1"/>
  <c r="R91" i="40" l="1"/>
  <c r="S92" i="40"/>
  <c r="P91" i="40"/>
  <c r="O92" i="40"/>
  <c r="O91" i="40"/>
  <c r="I90" i="40"/>
  <c r="I89" i="40" s="1"/>
  <c r="H92" i="40"/>
  <c r="U187" i="40"/>
  <c r="Q92" i="40" l="1"/>
  <c r="H91" i="40"/>
  <c r="J90" i="40"/>
  <c r="R90" i="40" s="1"/>
  <c r="S91" i="40"/>
  <c r="T92" i="40"/>
  <c r="G90" i="40"/>
  <c r="P90" i="40" s="1"/>
  <c r="K90" i="40"/>
  <c r="L92" i="40"/>
  <c r="L91" i="40" s="1"/>
  <c r="Q91" i="40" l="1"/>
  <c r="H60" i="11"/>
  <c r="H59" i="11" s="1"/>
  <c r="H58" i="11" s="1"/>
  <c r="U91" i="40"/>
  <c r="U92" i="40"/>
  <c r="J89" i="40"/>
  <c r="S90" i="40"/>
  <c r="T91" i="40"/>
  <c r="G89" i="40"/>
  <c r="H90" i="40"/>
  <c r="Q90" i="40" s="1"/>
  <c r="K89" i="40"/>
  <c r="S89" i="40" l="1"/>
  <c r="L90" i="40"/>
  <c r="U90" i="40" s="1"/>
  <c r="T90" i="40"/>
  <c r="H89" i="40"/>
  <c r="E250" i="8"/>
  <c r="E248" i="8" s="1"/>
  <c r="L89" i="40" l="1"/>
  <c r="U89" i="40" s="1"/>
  <c r="T89" i="40"/>
  <c r="D23" i="37" l="1"/>
  <c r="D23" i="82" l="1"/>
  <c r="E23" i="82" s="1"/>
  <c r="F23" i="83"/>
  <c r="G23" i="83" s="1"/>
  <c r="E230" i="8"/>
  <c r="D230" i="8"/>
  <c r="D132" i="8"/>
  <c r="D122" i="8"/>
  <c r="D119" i="8" s="1"/>
  <c r="D113" i="8"/>
  <c r="D110" i="8" s="1"/>
  <c r="D103" i="8"/>
  <c r="D100" i="8" s="1"/>
  <c r="A60" i="45" l="1"/>
  <c r="E27" i="34" l="1"/>
  <c r="E26" i="34"/>
  <c r="J17" i="34"/>
  <c r="I17" i="34"/>
  <c r="H9" i="34"/>
  <c r="D11" i="34" l="1"/>
  <c r="E11" i="34"/>
  <c r="F11" i="34"/>
  <c r="F8" i="34"/>
  <c r="E8" i="34"/>
  <c r="D8" i="34"/>
  <c r="C7" i="34"/>
  <c r="H7" i="34" s="1"/>
  <c r="D28" i="67"/>
  <c r="D26" i="67"/>
  <c r="D28" i="66"/>
  <c r="D26" i="66"/>
  <c r="E37" i="54"/>
  <c r="E35" i="54"/>
  <c r="D27" i="53"/>
  <c r="D25" i="53"/>
  <c r="E34" i="52"/>
  <c r="E32" i="52"/>
  <c r="A47" i="42"/>
  <c r="A45" i="42"/>
  <c r="C36" i="41"/>
  <c r="C34" i="41"/>
  <c r="I35" i="69"/>
  <c r="I33" i="69"/>
  <c r="F16" i="34" l="1"/>
  <c r="F20" i="34" s="1"/>
  <c r="D16" i="34"/>
  <c r="D20" i="34" s="1"/>
  <c r="E16" i="34"/>
  <c r="E20" i="34" s="1"/>
  <c r="I320" i="40"/>
  <c r="I318" i="40"/>
  <c r="C289" i="37" l="1"/>
  <c r="E297" i="83" s="1"/>
  <c r="C287" i="37"/>
  <c r="E295" i="83" s="1"/>
  <c r="D40" i="36"/>
  <c r="D38" i="36"/>
  <c r="E35" i="35"/>
  <c r="E33" i="35"/>
  <c r="C116" i="33"/>
  <c r="C114" i="33"/>
  <c r="B107" i="32"/>
  <c r="B105" i="32"/>
  <c r="B175" i="58"/>
  <c r="B173" i="58"/>
  <c r="E30" i="30"/>
  <c r="E28" i="30"/>
  <c r="B112" i="28"/>
  <c r="B110" i="28"/>
  <c r="C112" i="27"/>
  <c r="C110" i="27"/>
  <c r="J49" i="25"/>
  <c r="J47" i="25"/>
  <c r="G27" i="24"/>
  <c r="G25" i="24"/>
  <c r="G96" i="12"/>
  <c r="G94" i="12"/>
  <c r="G112" i="11"/>
  <c r="G110" i="11"/>
  <c r="H31" i="56"/>
  <c r="H29" i="56"/>
  <c r="H50" i="10"/>
  <c r="H48" i="10"/>
  <c r="E34" i="55"/>
  <c r="E32" i="55"/>
  <c r="E121" i="9"/>
  <c r="E119" i="9"/>
  <c r="D310" i="8" l="1"/>
  <c r="D312" i="8"/>
  <c r="D228" i="8"/>
  <c r="E253" i="8" l="1"/>
  <c r="E252" i="8"/>
  <c r="I80" i="63"/>
  <c r="I78" i="63"/>
  <c r="J80" i="64"/>
  <c r="J78" i="64"/>
  <c r="I75" i="7"/>
  <c r="I73" i="7"/>
  <c r="C32" i="6"/>
  <c r="C30" i="6"/>
  <c r="D51" i="5"/>
  <c r="D49" i="5"/>
  <c r="C40" i="4"/>
  <c r="C38" i="4"/>
  <c r="I40" i="3"/>
  <c r="I38" i="3"/>
  <c r="A101" i="11" l="1"/>
  <c r="C51" i="11"/>
  <c r="D51" i="11"/>
  <c r="E51" i="11"/>
  <c r="F51" i="11"/>
  <c r="K51" i="11"/>
  <c r="C18" i="11"/>
  <c r="D18" i="11"/>
  <c r="E18" i="11"/>
  <c r="F18" i="11"/>
  <c r="K18" i="11"/>
  <c r="C13" i="37" l="1"/>
  <c r="K82" i="40"/>
  <c r="O82" i="40" s="1"/>
  <c r="K43" i="40"/>
  <c r="O43" i="40" s="1"/>
  <c r="M36" i="40"/>
  <c r="E36" i="40"/>
  <c r="F36" i="40"/>
  <c r="D36" i="40"/>
  <c r="C36" i="40"/>
  <c r="D13" i="37"/>
  <c r="D13" i="82" l="1"/>
  <c r="E13" i="82" s="1"/>
  <c r="F13" i="83"/>
  <c r="G13" i="83" s="1"/>
  <c r="D12" i="37"/>
  <c r="E13" i="37"/>
  <c r="S43" i="40"/>
  <c r="S82" i="40"/>
  <c r="I51" i="11"/>
  <c r="H82" i="40"/>
  <c r="H43" i="40"/>
  <c r="I18" i="11"/>
  <c r="Q82" i="40" l="1"/>
  <c r="H51" i="11"/>
  <c r="Q43" i="40"/>
  <c r="H18" i="11"/>
  <c r="J18" i="11" s="1"/>
  <c r="F12" i="83"/>
  <c r="G12" i="83" s="1"/>
  <c r="D12" i="82"/>
  <c r="E12" i="82" s="1"/>
  <c r="T82" i="40"/>
  <c r="T43" i="40"/>
  <c r="L82" i="40"/>
  <c r="U82" i="40" s="1"/>
  <c r="J51" i="11"/>
  <c r="L43" i="40"/>
  <c r="E17" i="70"/>
  <c r="H17" i="70" s="1"/>
  <c r="H13" i="70"/>
  <c r="A85" i="70"/>
  <c r="D83" i="70"/>
  <c r="A83" i="70"/>
  <c r="A1" i="70"/>
  <c r="N43" i="40" l="1"/>
  <c r="U43" i="40"/>
  <c r="I28" i="69"/>
  <c r="I26" i="69"/>
  <c r="A28" i="69"/>
  <c r="A26" i="69"/>
  <c r="A1" i="69"/>
  <c r="M18" i="69"/>
  <c r="M17" i="69" s="1"/>
  <c r="M16" i="69" s="1"/>
  <c r="M15" i="69" s="1"/>
  <c r="M14" i="69" s="1"/>
  <c r="M13" i="69" s="1"/>
  <c r="M12" i="69" s="1"/>
  <c r="M11" i="69" s="1"/>
  <c r="M10" i="69" s="1"/>
  <c r="M9" i="69" s="1"/>
  <c r="M8" i="69" s="1"/>
  <c r="L18" i="69"/>
  <c r="L17" i="69" s="1"/>
  <c r="L16" i="69" s="1"/>
  <c r="L15" i="69" s="1"/>
  <c r="L14" i="69" s="1"/>
  <c r="L13" i="69" s="1"/>
  <c r="L12" i="69" s="1"/>
  <c r="L11" i="69" s="1"/>
  <c r="L10" i="69" s="1"/>
  <c r="L9" i="69" s="1"/>
  <c r="L8" i="69" s="1"/>
  <c r="K18" i="69"/>
  <c r="K17" i="69" s="1"/>
  <c r="K16" i="69" s="1"/>
  <c r="K15" i="69" s="1"/>
  <c r="K14" i="69" s="1"/>
  <c r="K13" i="69" s="1"/>
  <c r="K12" i="69" s="1"/>
  <c r="K11" i="69" s="1"/>
  <c r="K10" i="69" s="1"/>
  <c r="K9" i="69" s="1"/>
  <c r="K8" i="69" s="1"/>
  <c r="E16" i="73" s="1"/>
  <c r="J18" i="69"/>
  <c r="J17" i="69" s="1"/>
  <c r="J16" i="69" s="1"/>
  <c r="J15" i="69" s="1"/>
  <c r="J14" i="69" s="1"/>
  <c r="J13" i="69" s="1"/>
  <c r="J12" i="69" s="1"/>
  <c r="J11" i="69" s="1"/>
  <c r="J10" i="69" s="1"/>
  <c r="J9" i="69" s="1"/>
  <c r="J8" i="69" s="1"/>
  <c r="I18" i="69"/>
  <c r="I17" i="69" s="1"/>
  <c r="I16" i="69" s="1"/>
  <c r="I15" i="69" s="1"/>
  <c r="I14" i="69" s="1"/>
  <c r="I13" i="69" s="1"/>
  <c r="I12" i="69" s="1"/>
  <c r="I11" i="69" s="1"/>
  <c r="I10" i="69" s="1"/>
  <c r="I9" i="69" s="1"/>
  <c r="I8" i="69" s="1"/>
  <c r="H18" i="69"/>
  <c r="H17" i="69" s="1"/>
  <c r="H16" i="69" s="1"/>
  <c r="H15" i="69" s="1"/>
  <c r="H14" i="69" s="1"/>
  <c r="H13" i="69" s="1"/>
  <c r="H12" i="69" s="1"/>
  <c r="H11" i="69" s="1"/>
  <c r="H10" i="69" s="1"/>
  <c r="H9" i="69" s="1"/>
  <c r="H8" i="69" s="1"/>
  <c r="G18" i="69"/>
  <c r="G17" i="69" s="1"/>
  <c r="G16" i="69" s="1"/>
  <c r="G15" i="69" s="1"/>
  <c r="G14" i="69" s="1"/>
  <c r="G13" i="69" s="1"/>
  <c r="G12" i="69" s="1"/>
  <c r="G11" i="69" s="1"/>
  <c r="G10" i="69" s="1"/>
  <c r="G9" i="69" s="1"/>
  <c r="G8" i="69" s="1"/>
  <c r="F18" i="69"/>
  <c r="F17" i="69" s="1"/>
  <c r="F16" i="69" s="1"/>
  <c r="F15" i="69" s="1"/>
  <c r="F14" i="69" s="1"/>
  <c r="F13" i="69" s="1"/>
  <c r="F12" i="69" s="1"/>
  <c r="F11" i="69" s="1"/>
  <c r="F10" i="69" s="1"/>
  <c r="F9" i="69" s="1"/>
  <c r="F8" i="69" s="1"/>
  <c r="E18" i="69"/>
  <c r="E17" i="69" s="1"/>
  <c r="E16" i="69" s="1"/>
  <c r="E15" i="69" s="1"/>
  <c r="E14" i="69" s="1"/>
  <c r="E13" i="69" s="1"/>
  <c r="E12" i="69" s="1"/>
  <c r="E11" i="69" s="1"/>
  <c r="E10" i="69" s="1"/>
  <c r="E9" i="69" s="1"/>
  <c r="E8" i="69" s="1"/>
  <c r="C38" i="79" s="1"/>
  <c r="D18" i="69"/>
  <c r="D17" i="69" s="1"/>
  <c r="D16" i="69" s="1"/>
  <c r="D15" i="69" s="1"/>
  <c r="D14" i="69" s="1"/>
  <c r="D13" i="69" s="1"/>
  <c r="D12" i="69" s="1"/>
  <c r="D11" i="69" s="1"/>
  <c r="D10" i="69" s="1"/>
  <c r="D9" i="69" s="1"/>
  <c r="D8" i="69" s="1"/>
  <c r="C18" i="69"/>
  <c r="C17" i="69" s="1"/>
  <c r="C16" i="69" s="1"/>
  <c r="C15" i="69" s="1"/>
  <c r="C14" i="69" s="1"/>
  <c r="C13" i="69" s="1"/>
  <c r="C12" i="69" s="1"/>
  <c r="C11" i="69" s="1"/>
  <c r="C10" i="69" s="1"/>
  <c r="C9" i="69" s="1"/>
  <c r="C8" i="69" s="1"/>
  <c r="C37" i="79" s="1"/>
  <c r="F10" i="14" l="1"/>
  <c r="E26" i="15" l="1"/>
  <c r="H9" i="21" l="1"/>
  <c r="E48" i="21"/>
  <c r="F48" i="21"/>
  <c r="E49" i="21"/>
  <c r="F49" i="21"/>
  <c r="E50" i="21"/>
  <c r="F50" i="21"/>
  <c r="F63" i="22" l="1"/>
  <c r="F60" i="22"/>
  <c r="F58" i="22"/>
  <c r="F54" i="22"/>
  <c r="H63" i="22"/>
  <c r="G63" i="22"/>
  <c r="G60" i="22"/>
  <c r="G58" i="22"/>
  <c r="H58" i="22"/>
  <c r="H54" i="22"/>
  <c r="G54" i="22"/>
  <c r="E61" i="22"/>
  <c r="H61" i="22" s="1"/>
  <c r="F61" i="22"/>
  <c r="E14" i="22"/>
  <c r="D11" i="24" l="1"/>
  <c r="D10" i="24" s="1"/>
  <c r="D9" i="24" s="1"/>
  <c r="D8" i="24" s="1"/>
  <c r="D11" i="12"/>
  <c r="D22" i="12"/>
  <c r="D31" i="12"/>
  <c r="D42" i="12"/>
  <c r="D44" i="12"/>
  <c r="D56" i="12"/>
  <c r="D55" i="12" s="1"/>
  <c r="D59" i="12"/>
  <c r="D63" i="12"/>
  <c r="D81" i="12"/>
  <c r="D80" i="12" s="1"/>
  <c r="D79" i="12" s="1"/>
  <c r="D78" i="12" s="1"/>
  <c r="D12" i="11"/>
  <c r="D13" i="11"/>
  <c r="D14" i="11"/>
  <c r="D15" i="11"/>
  <c r="D16" i="11"/>
  <c r="D17" i="11"/>
  <c r="D19" i="11"/>
  <c r="D21" i="11"/>
  <c r="D23" i="11"/>
  <c r="D24" i="11"/>
  <c r="D25" i="11"/>
  <c r="D26" i="11"/>
  <c r="D27" i="11"/>
  <c r="D28" i="11"/>
  <c r="D29" i="11"/>
  <c r="D32" i="11"/>
  <c r="D33" i="11"/>
  <c r="D34" i="11"/>
  <c r="D35" i="11"/>
  <c r="D36" i="11"/>
  <c r="D37" i="11"/>
  <c r="D38" i="11"/>
  <c r="D40" i="11"/>
  <c r="D41" i="11"/>
  <c r="D43" i="11"/>
  <c r="D42" i="11" s="1"/>
  <c r="D45" i="11"/>
  <c r="D46" i="11"/>
  <c r="D47" i="11"/>
  <c r="D48" i="11"/>
  <c r="D49" i="11"/>
  <c r="D50" i="11"/>
  <c r="D53" i="11"/>
  <c r="D54" i="11"/>
  <c r="D57" i="11"/>
  <c r="D56" i="11" s="1"/>
  <c r="D55" i="11" s="1"/>
  <c r="D60" i="11"/>
  <c r="D64" i="11"/>
  <c r="D65" i="11"/>
  <c r="D67" i="11"/>
  <c r="D68" i="11"/>
  <c r="D69" i="11"/>
  <c r="D75" i="11"/>
  <c r="D76" i="11"/>
  <c r="D78" i="11"/>
  <c r="D77" i="11" s="1"/>
  <c r="D83" i="11"/>
  <c r="D84" i="11"/>
  <c r="D85" i="11"/>
  <c r="D86" i="11"/>
  <c r="D87" i="11"/>
  <c r="D10" i="12" l="1"/>
  <c r="D59" i="11"/>
  <c r="D58" i="11" s="1"/>
  <c r="D58" i="12"/>
  <c r="D30" i="12"/>
  <c r="D74" i="11"/>
  <c r="D44" i="11"/>
  <c r="D52" i="11"/>
  <c r="D82" i="11"/>
  <c r="D81" i="11" s="1"/>
  <c r="D80" i="11" s="1"/>
  <c r="D22" i="11"/>
  <c r="D11" i="11"/>
  <c r="E14" i="56"/>
  <c r="E13" i="56" s="1"/>
  <c r="E11" i="10"/>
  <c r="E17" i="10"/>
  <c r="E18" i="10"/>
  <c r="E21" i="10"/>
  <c r="E25" i="10"/>
  <c r="E29" i="10"/>
  <c r="E30" i="10"/>
  <c r="E33" i="10"/>
  <c r="E34" i="10"/>
  <c r="D46" i="40"/>
  <c r="D48" i="40"/>
  <c r="D73" i="40"/>
  <c r="D75" i="40"/>
  <c r="D83" i="40"/>
  <c r="D87" i="40"/>
  <c r="D89" i="40"/>
  <c r="D63" i="11"/>
  <c r="D111" i="40"/>
  <c r="D106" i="40" s="1"/>
  <c r="D119" i="40"/>
  <c r="D124" i="40"/>
  <c r="D91" i="11"/>
  <c r="D90" i="11" s="1"/>
  <c r="D89" i="11" s="1"/>
  <c r="D88" i="11" s="1"/>
  <c r="D22" i="22"/>
  <c r="D294" i="40"/>
  <c r="D298" i="40"/>
  <c r="E55" i="9"/>
  <c r="B73" i="64"/>
  <c r="B72" i="64"/>
  <c r="D86" i="40" l="1"/>
  <c r="D28" i="40"/>
  <c r="D293" i="40"/>
  <c r="E31" i="10" s="1"/>
  <c r="D66" i="11"/>
  <c r="D20" i="11"/>
  <c r="D56" i="22"/>
  <c r="G56" i="22" s="1"/>
  <c r="E12" i="23"/>
  <c r="D123" i="40"/>
  <c r="D226" i="40"/>
  <c r="D75" i="70"/>
  <c r="D72" i="70" s="1"/>
  <c r="D69" i="70" s="1"/>
  <c r="E24" i="10"/>
  <c r="E20" i="10"/>
  <c r="E60" i="60"/>
  <c r="D13" i="60" s="1"/>
  <c r="E14" i="10"/>
  <c r="E32" i="10"/>
  <c r="E28" i="10"/>
  <c r="D267" i="40"/>
  <c r="E27" i="10"/>
  <c r="E22" i="10"/>
  <c r="D35" i="40"/>
  <c r="D10" i="11"/>
  <c r="E23" i="10"/>
  <c r="D13" i="40"/>
  <c r="D25" i="40"/>
  <c r="D12" i="40"/>
  <c r="D297" i="40"/>
  <c r="D16" i="40" l="1"/>
  <c r="D30" i="40"/>
  <c r="D292" i="40"/>
  <c r="D17" i="40"/>
  <c r="D24" i="40"/>
  <c r="D22" i="40"/>
  <c r="D122" i="40"/>
  <c r="E16" i="10"/>
  <c r="E15" i="10"/>
  <c r="D137" i="40"/>
  <c r="D296" i="40"/>
  <c r="D69" i="12"/>
  <c r="D68" i="12" s="1"/>
  <c r="D67" i="12" s="1"/>
  <c r="D9" i="12" s="1"/>
  <c r="D8" i="12" s="1"/>
  <c r="E26" i="10"/>
  <c r="D27" i="40"/>
  <c r="D62" i="11"/>
  <c r="D10" i="40"/>
  <c r="E19" i="10"/>
  <c r="K11" i="12"/>
  <c r="J11" i="12"/>
  <c r="H11" i="12"/>
  <c r="G11" i="12"/>
  <c r="F11" i="12"/>
  <c r="E11" i="12"/>
  <c r="C11" i="12"/>
  <c r="K14" i="11"/>
  <c r="F14" i="11"/>
  <c r="E14" i="11"/>
  <c r="C14" i="11"/>
  <c r="K39" i="40"/>
  <c r="O39" i="40" s="1"/>
  <c r="H55" i="9"/>
  <c r="J55" i="9" s="1"/>
  <c r="E54" i="33"/>
  <c r="D19" i="40" l="1"/>
  <c r="D295" i="40"/>
  <c r="D29" i="40"/>
  <c r="D136" i="40"/>
  <c r="D26" i="40"/>
  <c r="D14" i="40"/>
  <c r="S39" i="40"/>
  <c r="E13" i="10"/>
  <c r="D67" i="40"/>
  <c r="I14" i="11"/>
  <c r="H39" i="40"/>
  <c r="Q39" i="40" l="1"/>
  <c r="H14" i="11"/>
  <c r="J14" i="11" s="1"/>
  <c r="D18" i="40"/>
  <c r="D66" i="40"/>
  <c r="T39" i="40"/>
  <c r="L39" i="40"/>
  <c r="D58" i="40" l="1"/>
  <c r="D57" i="40" s="1"/>
  <c r="N39" i="40"/>
  <c r="U39" i="40"/>
  <c r="D39" i="11"/>
  <c r="D31" i="11" s="1"/>
  <c r="D30" i="11" s="1"/>
  <c r="D9" i="11" s="1"/>
  <c r="D8" i="11" s="1"/>
  <c r="L99" i="58"/>
  <c r="L98" i="58"/>
  <c r="L97" i="58"/>
  <c r="L96" i="58"/>
  <c r="L95" i="58"/>
  <c r="L94" i="58"/>
  <c r="L101" i="58"/>
  <c r="L102" i="58"/>
  <c r="L103" i="58"/>
  <c r="L104" i="58"/>
  <c r="L105" i="58"/>
  <c r="L100" i="58"/>
  <c r="D131" i="40" l="1"/>
  <c r="E12" i="10" s="1"/>
  <c r="D34" i="40"/>
  <c r="D11" i="40"/>
  <c r="D9" i="40" s="1"/>
  <c r="D8" i="40" s="1"/>
  <c r="D23" i="40"/>
  <c r="D21" i="40" s="1"/>
  <c r="D20" i="40" s="1"/>
  <c r="E8" i="10" s="1"/>
  <c r="D32" i="40" l="1"/>
  <c r="D31" i="40" s="1"/>
  <c r="E9" i="10" s="1"/>
  <c r="D33" i="40"/>
  <c r="E10" i="10" s="1"/>
  <c r="D19" i="66" l="1"/>
  <c r="B19" i="66"/>
  <c r="D20" i="67"/>
  <c r="D28" i="78" s="1"/>
  <c r="C41" i="79" s="1"/>
  <c r="D26" i="80" s="1"/>
  <c r="D22" i="67"/>
  <c r="D30" i="78" s="1"/>
  <c r="C43" i="79" s="1"/>
  <c r="D28" i="80" s="1"/>
  <c r="A23" i="67"/>
  <c r="A22" i="67"/>
  <c r="A20" i="67"/>
  <c r="A1" i="67"/>
  <c r="A1" i="45" s="1"/>
  <c r="A1" i="46" s="1"/>
  <c r="A1" i="48" s="1"/>
  <c r="A1" i="49" s="1"/>
  <c r="D21" i="66"/>
  <c r="B22" i="66"/>
  <c r="B21" i="66"/>
  <c r="A1" i="66"/>
  <c r="H101" i="9"/>
  <c r="H100" i="9" l="1"/>
  <c r="J100" i="9" s="1"/>
  <c r="J101" i="9"/>
  <c r="A1" i="51"/>
  <c r="A1" i="78" s="1"/>
  <c r="A1" i="79" s="1"/>
  <c r="A1" i="80" s="1"/>
  <c r="I72" i="64" l="1"/>
  <c r="J16" i="24" l="1"/>
  <c r="J15" i="24"/>
  <c r="G140" i="8" l="1"/>
  <c r="F140" i="8"/>
  <c r="E240" i="8" l="1"/>
  <c r="E239" i="8"/>
  <c r="E134" i="8"/>
  <c r="E132" i="8" s="1"/>
  <c r="E129" i="8"/>
  <c r="E43" i="8"/>
  <c r="E44" i="8" s="1"/>
  <c r="E35" i="8"/>
  <c r="E29" i="8"/>
  <c r="E28" i="8"/>
  <c r="E18" i="8"/>
  <c r="E15" i="8"/>
  <c r="E272" i="8"/>
  <c r="E268" i="8"/>
  <c r="E259" i="8"/>
  <c r="E257" i="8" s="1"/>
  <c r="E228" i="8"/>
  <c r="E222" i="8"/>
  <c r="E220" i="8" s="1"/>
  <c r="E213" i="8"/>
  <c r="E208" i="8"/>
  <c r="E200" i="8"/>
  <c r="E205" i="8" s="1"/>
  <c r="E194" i="8"/>
  <c r="E199" i="8" s="1"/>
  <c r="E188" i="8"/>
  <c r="E175" i="8"/>
  <c r="E180" i="8" s="1"/>
  <c r="E168" i="8"/>
  <c r="E174" i="8" s="1"/>
  <c r="E158" i="8"/>
  <c r="E163" i="8" s="1"/>
  <c r="E165" i="8" s="1"/>
  <c r="E149" i="8"/>
  <c r="E154" i="8" s="1"/>
  <c r="E156" i="8" s="1"/>
  <c r="E142" i="8"/>
  <c r="E139" i="8" s="1"/>
  <c r="E146" i="8" s="1"/>
  <c r="E122" i="8"/>
  <c r="E119" i="8" s="1"/>
  <c r="E127" i="8" s="1"/>
  <c r="E113" i="8"/>
  <c r="E110" i="8" s="1"/>
  <c r="E100" i="8"/>
  <c r="E97" i="8"/>
  <c r="E89" i="8"/>
  <c r="E79" i="8"/>
  <c r="E75" i="8"/>
  <c r="E78" i="8" s="1"/>
  <c r="E70" i="8"/>
  <c r="E66" i="8"/>
  <c r="E69" i="8" s="1"/>
  <c r="E56" i="8"/>
  <c r="E62" i="8" s="1"/>
  <c r="E49" i="8"/>
  <c r="E41" i="8"/>
  <c r="E27" i="8"/>
  <c r="E24" i="8"/>
  <c r="E181" i="8" l="1"/>
  <c r="E277" i="8"/>
  <c r="E82" i="8"/>
  <c r="E36" i="8"/>
  <c r="E38" i="8" s="1"/>
  <c r="E73" i="8"/>
  <c r="E19" i="8"/>
  <c r="E21" i="8" s="1"/>
  <c r="E242" i="8"/>
  <c r="E67" i="58" l="1"/>
  <c r="E26" i="58"/>
  <c r="H42" i="9" l="1"/>
  <c r="H41" i="9"/>
  <c r="E40" i="33"/>
  <c r="F11" i="24" l="1"/>
  <c r="F10" i="24" s="1"/>
  <c r="F9" i="24" s="1"/>
  <c r="F8" i="24" s="1"/>
  <c r="G14" i="56"/>
  <c r="I70" i="64" l="1"/>
  <c r="B70" i="64"/>
  <c r="E41" i="45" l="1"/>
  <c r="E40" i="45" s="1"/>
  <c r="E44" i="45"/>
  <c r="E43" i="45" s="1"/>
  <c r="E55" i="45"/>
  <c r="E54" i="45" s="1"/>
  <c r="E10" i="45" l="1"/>
  <c r="H54" i="9"/>
  <c r="H37" i="9"/>
  <c r="H38" i="9"/>
  <c r="H40" i="9"/>
  <c r="E54" i="9"/>
  <c r="J54" i="9" s="1"/>
  <c r="E40" i="9"/>
  <c r="E53" i="33"/>
  <c r="C32" i="33"/>
  <c r="E39" i="33"/>
  <c r="D25" i="52"/>
  <c r="I20" i="3"/>
  <c r="C20" i="3" s="1"/>
  <c r="L13" i="56"/>
  <c r="K13" i="56"/>
  <c r="J13" i="56"/>
  <c r="I13" i="56"/>
  <c r="H13" i="56"/>
  <c r="G13" i="56"/>
  <c r="E11" i="24"/>
  <c r="E10" i="24" s="1"/>
  <c r="E9" i="24" s="1"/>
  <c r="E8" i="24" s="1"/>
  <c r="C11" i="24"/>
  <c r="C10" i="24" s="1"/>
  <c r="C9" i="24" s="1"/>
  <c r="C8" i="24" s="1"/>
  <c r="K21" i="11"/>
  <c r="F21" i="11"/>
  <c r="E21" i="11"/>
  <c r="C21" i="11"/>
  <c r="B1" i="64"/>
  <c r="H9" i="64"/>
  <c r="H66" i="64" s="1"/>
  <c r="E159" i="58"/>
  <c r="C25" i="52"/>
  <c r="F14" i="56"/>
  <c r="F13" i="56" s="1"/>
  <c r="D14" i="56"/>
  <c r="D13" i="56" s="1"/>
  <c r="D44" i="8"/>
  <c r="D242" i="8"/>
  <c r="C33" i="9"/>
  <c r="A71" i="7"/>
  <c r="G10" i="7"/>
  <c r="E10" i="7" s="1"/>
  <c r="G11" i="7"/>
  <c r="E11" i="7" s="1"/>
  <c r="G12" i="7"/>
  <c r="E12" i="7" s="1"/>
  <c r="G13" i="7"/>
  <c r="E13" i="7" s="1"/>
  <c r="G14" i="7"/>
  <c r="G15" i="7"/>
  <c r="G16" i="7"/>
  <c r="E16" i="7" s="1"/>
  <c r="G17" i="7"/>
  <c r="G18" i="7"/>
  <c r="G19" i="7"/>
  <c r="G20" i="7"/>
  <c r="E20" i="7" s="1"/>
  <c r="G21" i="7"/>
  <c r="E21" i="7" s="1"/>
  <c r="G22" i="7"/>
  <c r="E22" i="7" s="1"/>
  <c r="G23" i="7"/>
  <c r="E23" i="7" s="1"/>
  <c r="G24" i="7"/>
  <c r="E24" i="7" s="1"/>
  <c r="G25" i="7"/>
  <c r="G26" i="7"/>
  <c r="G27" i="7"/>
  <c r="E27" i="7" s="1"/>
  <c r="G28" i="7"/>
  <c r="E28" i="7" s="1"/>
  <c r="G29" i="7"/>
  <c r="E29" i="7" s="1"/>
  <c r="G30" i="7"/>
  <c r="G31" i="7"/>
  <c r="G32" i="7"/>
  <c r="E32" i="7" s="1"/>
  <c r="G33" i="7"/>
  <c r="G34" i="7"/>
  <c r="E34" i="7" s="1"/>
  <c r="G35" i="7"/>
  <c r="G36" i="7"/>
  <c r="E36" i="7" s="1"/>
  <c r="G37" i="7"/>
  <c r="G38" i="7"/>
  <c r="E39" i="7"/>
  <c r="G40" i="7"/>
  <c r="G41" i="7"/>
  <c r="G42" i="7"/>
  <c r="G43" i="7"/>
  <c r="G44" i="7"/>
  <c r="G45" i="7"/>
  <c r="G46" i="7"/>
  <c r="G47" i="7"/>
  <c r="G48" i="7"/>
  <c r="G49" i="7"/>
  <c r="G50" i="7"/>
  <c r="G51" i="7"/>
  <c r="G8" i="7"/>
  <c r="I72" i="63"/>
  <c r="I70" i="63"/>
  <c r="B73" i="63"/>
  <c r="B72" i="63"/>
  <c r="B70" i="63"/>
  <c r="B1" i="63"/>
  <c r="B10" i="32"/>
  <c r="F67" i="58"/>
  <c r="H67" i="58" s="1"/>
  <c r="I67" i="58" s="1"/>
  <c r="D96" i="37"/>
  <c r="C96" i="37"/>
  <c r="D88" i="37"/>
  <c r="C88" i="37"/>
  <c r="C76" i="11"/>
  <c r="E76" i="11"/>
  <c r="F76" i="11"/>
  <c r="K76" i="11"/>
  <c r="C68" i="11"/>
  <c r="E68" i="11"/>
  <c r="F68" i="11"/>
  <c r="K68" i="11"/>
  <c r="C69" i="11"/>
  <c r="E69" i="11"/>
  <c r="F69" i="11"/>
  <c r="K69" i="11"/>
  <c r="C28" i="11"/>
  <c r="E28" i="11"/>
  <c r="F28" i="11"/>
  <c r="K28" i="11"/>
  <c r="C29" i="11"/>
  <c r="E29" i="11"/>
  <c r="F29" i="11"/>
  <c r="K29" i="11"/>
  <c r="C13" i="11"/>
  <c r="E13" i="11"/>
  <c r="F13" i="11"/>
  <c r="K13" i="11"/>
  <c r="M111" i="40"/>
  <c r="M106" i="40" s="1"/>
  <c r="K113" i="40"/>
  <c r="O113" i="40" s="1"/>
  <c r="K114" i="40"/>
  <c r="O114" i="40" s="1"/>
  <c r="F111" i="40"/>
  <c r="F106" i="40" s="1"/>
  <c r="E111" i="40"/>
  <c r="E106" i="40" s="1"/>
  <c r="C111" i="40"/>
  <c r="C106" i="40" s="1"/>
  <c r="M294" i="40"/>
  <c r="F294" i="40"/>
  <c r="E294" i="40"/>
  <c r="C294" i="40"/>
  <c r="L28" i="10"/>
  <c r="L27" i="10"/>
  <c r="G27" i="10"/>
  <c r="L24" i="10"/>
  <c r="M119" i="40"/>
  <c r="M28" i="40" s="1"/>
  <c r="M17" i="40" s="1"/>
  <c r="F119" i="40"/>
  <c r="E119" i="40"/>
  <c r="K121" i="40"/>
  <c r="O121" i="40" s="1"/>
  <c r="F48" i="40"/>
  <c r="E48" i="40"/>
  <c r="C48" i="40"/>
  <c r="M48" i="40"/>
  <c r="K54" i="40"/>
  <c r="O54" i="40" s="1"/>
  <c r="O56" i="40"/>
  <c r="M46" i="40"/>
  <c r="K20" i="11" s="1"/>
  <c r="K47" i="40"/>
  <c r="O47" i="40" s="1"/>
  <c r="F46" i="40"/>
  <c r="E46" i="40"/>
  <c r="P46" i="40" s="1"/>
  <c r="C46" i="40"/>
  <c r="K38" i="40"/>
  <c r="O38" i="40" s="1"/>
  <c r="E52" i="22"/>
  <c r="H52" i="22" s="1"/>
  <c r="E56" i="22"/>
  <c r="H56" i="22" s="1"/>
  <c r="D271" i="37"/>
  <c r="C271" i="37"/>
  <c r="C23" i="37"/>
  <c r="C12" i="37" s="1"/>
  <c r="K139" i="40"/>
  <c r="O139" i="40" s="1"/>
  <c r="O158" i="40"/>
  <c r="K185" i="40"/>
  <c r="O185" i="40" s="1"/>
  <c r="K204" i="40"/>
  <c r="O204" i="40" s="1"/>
  <c r="K205" i="40"/>
  <c r="O205" i="40" s="1"/>
  <c r="K210" i="40"/>
  <c r="O210" i="40" s="1"/>
  <c r="K219" i="40"/>
  <c r="O219" i="40" s="1"/>
  <c r="K242" i="40"/>
  <c r="O242" i="40" s="1"/>
  <c r="K243" i="40"/>
  <c r="O243" i="40" s="1"/>
  <c r="K260" i="40"/>
  <c r="O260" i="40" s="1"/>
  <c r="K269" i="40"/>
  <c r="E252" i="37"/>
  <c r="E255" i="37"/>
  <c r="K278" i="40" s="1"/>
  <c r="E258" i="37"/>
  <c r="E263" i="37"/>
  <c r="E264" i="37"/>
  <c r="K287" i="40" s="1"/>
  <c r="O287" i="40" s="1"/>
  <c r="E267" i="37"/>
  <c r="K290" i="40" s="1"/>
  <c r="O290" i="40" s="1"/>
  <c r="E268" i="37"/>
  <c r="K291" i="40" s="1"/>
  <c r="O291" i="40" s="1"/>
  <c r="H25" i="9"/>
  <c r="H24" i="9"/>
  <c r="E36" i="33"/>
  <c r="E37" i="33"/>
  <c r="D32" i="33"/>
  <c r="E23" i="33"/>
  <c r="E24" i="33"/>
  <c r="I33" i="9"/>
  <c r="G33" i="9"/>
  <c r="F33" i="9"/>
  <c r="E35" i="9"/>
  <c r="E36" i="9"/>
  <c r="E37" i="9"/>
  <c r="E38" i="9"/>
  <c r="E41" i="9"/>
  <c r="J41" i="9" s="1"/>
  <c r="E24" i="9"/>
  <c r="E25" i="9"/>
  <c r="H53" i="9"/>
  <c r="H32" i="9"/>
  <c r="H31" i="9" s="1"/>
  <c r="C31" i="9"/>
  <c r="C19" i="9" s="1"/>
  <c r="I72" i="9"/>
  <c r="G72" i="9"/>
  <c r="F72" i="9"/>
  <c r="D72" i="9"/>
  <c r="C72" i="9"/>
  <c r="C30" i="33"/>
  <c r="E30" i="33" s="1"/>
  <c r="E31" i="33"/>
  <c r="D71" i="33"/>
  <c r="C71" i="33"/>
  <c r="E51" i="33"/>
  <c r="E52" i="33"/>
  <c r="E55" i="33"/>
  <c r="A31" i="9"/>
  <c r="E53" i="9"/>
  <c r="I31" i="9"/>
  <c r="G31" i="9"/>
  <c r="F31" i="9"/>
  <c r="E32" i="9"/>
  <c r="D31" i="9"/>
  <c r="G14" i="10"/>
  <c r="G22" i="17"/>
  <c r="Q12" i="3"/>
  <c r="Q11" i="3"/>
  <c r="B28" i="51"/>
  <c r="C31" i="78" s="1"/>
  <c r="B44" i="79" s="1"/>
  <c r="B29" i="80" s="1"/>
  <c r="B29" i="50"/>
  <c r="B31" i="49"/>
  <c r="B66" i="48"/>
  <c r="A110" i="46"/>
  <c r="A63" i="45"/>
  <c r="B20" i="53"/>
  <c r="B87" i="62"/>
  <c r="B87" i="43"/>
  <c r="B45" i="25"/>
  <c r="A57" i="19"/>
  <c r="I42" i="18"/>
  <c r="I40" i="18"/>
  <c r="A42" i="18"/>
  <c r="A40" i="18"/>
  <c r="A46" i="15"/>
  <c r="D102" i="46"/>
  <c r="H34" i="22"/>
  <c r="F34" i="22"/>
  <c r="H39" i="22"/>
  <c r="G39" i="22"/>
  <c r="B93" i="62"/>
  <c r="B91" i="62"/>
  <c r="B86" i="62"/>
  <c r="B84" i="62"/>
  <c r="B82" i="62"/>
  <c r="A11" i="62"/>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C8" i="62"/>
  <c r="E8" i="62" s="1"/>
  <c r="A1" i="62"/>
  <c r="H83" i="9"/>
  <c r="E83" i="9"/>
  <c r="H52" i="9"/>
  <c r="E52" i="9"/>
  <c r="E47" i="22"/>
  <c r="H47" i="22" s="1"/>
  <c r="E43" i="22"/>
  <c r="H43" i="22" s="1"/>
  <c r="E26" i="22"/>
  <c r="H26" i="22" s="1"/>
  <c r="G47" i="22"/>
  <c r="F47" i="22"/>
  <c r="G43" i="22"/>
  <c r="F43" i="22"/>
  <c r="G26" i="22"/>
  <c r="F26" i="22"/>
  <c r="G18" i="22"/>
  <c r="F18" i="22"/>
  <c r="F159" i="58"/>
  <c r="E45" i="19"/>
  <c r="D80" i="60"/>
  <c r="D78" i="60"/>
  <c r="D76" i="60"/>
  <c r="A76" i="60"/>
  <c r="A77" i="60"/>
  <c r="D74" i="60"/>
  <c r="A74" i="60"/>
  <c r="E57" i="60"/>
  <c r="E56" i="60"/>
  <c r="F48" i="60"/>
  <c r="F51" i="60" s="1"/>
  <c r="E47" i="60"/>
  <c r="E50" i="60" s="1"/>
  <c r="E51" i="60" s="1"/>
  <c r="E45" i="60"/>
  <c r="E48" i="60" s="1"/>
  <c r="E41" i="60"/>
  <c r="E40" i="60"/>
  <c r="E28" i="60"/>
  <c r="F28" i="60" s="1"/>
  <c r="E27" i="60"/>
  <c r="E30" i="60" s="1"/>
  <c r="E31" i="60" s="1"/>
  <c r="F31" i="60" s="1"/>
  <c r="E21" i="60"/>
  <c r="E20" i="60"/>
  <c r="A1" i="60"/>
  <c r="C56" i="19"/>
  <c r="C54" i="19"/>
  <c r="A56" i="19"/>
  <c r="A54" i="19"/>
  <c r="B93" i="43"/>
  <c r="B91" i="43"/>
  <c r="B86" i="43"/>
  <c r="B84" i="43"/>
  <c r="E23" i="34"/>
  <c r="E21" i="34"/>
  <c r="J44" i="25"/>
  <c r="B44" i="25"/>
  <c r="D27" i="23"/>
  <c r="D25" i="23"/>
  <c r="A27" i="23"/>
  <c r="A25" i="23"/>
  <c r="A69" i="22"/>
  <c r="D69" i="22"/>
  <c r="D67" i="22"/>
  <c r="A67" i="22"/>
  <c r="B58" i="21"/>
  <c r="B56" i="21"/>
  <c r="A53" i="21"/>
  <c r="A52" i="21"/>
  <c r="D63" i="20"/>
  <c r="A63" i="20"/>
  <c r="D61" i="20"/>
  <c r="A61" i="20"/>
  <c r="G43" i="17"/>
  <c r="G41" i="17"/>
  <c r="A43" i="17"/>
  <c r="A41" i="17"/>
  <c r="J46" i="16"/>
  <c r="J44" i="16"/>
  <c r="A46" i="16"/>
  <c r="A44" i="16"/>
  <c r="G45" i="15"/>
  <c r="G43" i="15"/>
  <c r="A45" i="15"/>
  <c r="A43" i="15"/>
  <c r="D38" i="14"/>
  <c r="D36" i="14"/>
  <c r="A38" i="14"/>
  <c r="A36" i="14"/>
  <c r="F100" i="8"/>
  <c r="A1" i="34"/>
  <c r="A27" i="42"/>
  <c r="A32" i="41"/>
  <c r="A31" i="35"/>
  <c r="A25" i="30"/>
  <c r="A107" i="28"/>
  <c r="A107" i="27"/>
  <c r="A22" i="24"/>
  <c r="A92" i="12"/>
  <c r="B26" i="56"/>
  <c r="B45" i="10"/>
  <c r="A29" i="55"/>
  <c r="A27" i="6"/>
  <c r="A47" i="5"/>
  <c r="A33" i="4"/>
  <c r="A35" i="3"/>
  <c r="B53" i="2"/>
  <c r="K67" i="11"/>
  <c r="K65" i="11"/>
  <c r="K64" i="11"/>
  <c r="L18" i="46"/>
  <c r="M18" i="46"/>
  <c r="G102" i="46"/>
  <c r="I102" i="46"/>
  <c r="J102" i="46"/>
  <c r="D103" i="46"/>
  <c r="G103" i="46"/>
  <c r="I103" i="46"/>
  <c r="J103" i="46"/>
  <c r="H51" i="9"/>
  <c r="E51" i="9"/>
  <c r="E50" i="33"/>
  <c r="F60" i="11"/>
  <c r="E60" i="11"/>
  <c r="C60" i="11"/>
  <c r="G23" i="10"/>
  <c r="K256" i="40"/>
  <c r="O256" i="40" s="1"/>
  <c r="K71" i="40"/>
  <c r="O71" i="40" s="1"/>
  <c r="I28" i="9"/>
  <c r="G28" i="9"/>
  <c r="G19" i="9" s="1"/>
  <c r="F28" i="9"/>
  <c r="H29" i="9"/>
  <c r="H30" i="9"/>
  <c r="E29" i="9"/>
  <c r="E30" i="9"/>
  <c r="D27" i="33"/>
  <c r="D18" i="33" s="1"/>
  <c r="D17" i="33" s="1"/>
  <c r="C27" i="33"/>
  <c r="E28" i="33"/>
  <c r="E29" i="33"/>
  <c r="D24" i="41"/>
  <c r="D14" i="41" s="1"/>
  <c r="E24" i="52"/>
  <c r="E23" i="54"/>
  <c r="E24" i="54"/>
  <c r="G44" i="8"/>
  <c r="G25" i="52"/>
  <c r="F25" i="52"/>
  <c r="G25" i="54"/>
  <c r="F25" i="54"/>
  <c r="D25" i="54"/>
  <c r="C25" i="54"/>
  <c r="L14" i="10"/>
  <c r="L20" i="10"/>
  <c r="D307" i="8"/>
  <c r="B168" i="58"/>
  <c r="B166" i="58"/>
  <c r="A168" i="58"/>
  <c r="A166" i="58"/>
  <c r="A1" i="58"/>
  <c r="G119" i="8"/>
  <c r="G29" i="8"/>
  <c r="G53" i="8"/>
  <c r="G220" i="8"/>
  <c r="G228" i="8"/>
  <c r="G240" i="8"/>
  <c r="F161" i="58"/>
  <c r="E161" i="58"/>
  <c r="F76" i="58"/>
  <c r="E76" i="58"/>
  <c r="F26" i="58"/>
  <c r="H26" i="58" s="1"/>
  <c r="I26" i="58" s="1"/>
  <c r="D19" i="53"/>
  <c r="E29" i="54"/>
  <c r="E108" i="46" s="1"/>
  <c r="B29" i="54"/>
  <c r="A107" i="46" s="1"/>
  <c r="D17" i="53"/>
  <c r="B17" i="53"/>
  <c r="E27" i="52"/>
  <c r="B27" i="52"/>
  <c r="C57" i="11"/>
  <c r="C56" i="11" s="1"/>
  <c r="C55" i="11" s="1"/>
  <c r="C54" i="11"/>
  <c r="C53" i="11"/>
  <c r="C48" i="11"/>
  <c r="C49" i="11"/>
  <c r="C50" i="11"/>
  <c r="C47" i="11"/>
  <c r="C46" i="11"/>
  <c r="C45" i="11"/>
  <c r="C43" i="11"/>
  <c r="C42" i="11" s="1"/>
  <c r="C41" i="11"/>
  <c r="C40" i="11"/>
  <c r="C33" i="11"/>
  <c r="C34" i="11"/>
  <c r="C35" i="11"/>
  <c r="C36" i="11"/>
  <c r="C37" i="11"/>
  <c r="C38" i="11"/>
  <c r="C32" i="11"/>
  <c r="C24" i="11"/>
  <c r="C25" i="11"/>
  <c r="C26" i="11"/>
  <c r="C27" i="11"/>
  <c r="C23" i="11"/>
  <c r="C15" i="11"/>
  <c r="C16" i="11"/>
  <c r="C17" i="11"/>
  <c r="C19" i="11"/>
  <c r="C12" i="11"/>
  <c r="A38" i="42"/>
  <c r="A24" i="42"/>
  <c r="C29" i="41"/>
  <c r="A29" i="41"/>
  <c r="I311" i="40"/>
  <c r="A311" i="40"/>
  <c r="D32" i="36"/>
  <c r="A32" i="36"/>
  <c r="E28" i="35"/>
  <c r="A28" i="35"/>
  <c r="B21" i="34"/>
  <c r="C109" i="33"/>
  <c r="A109" i="33"/>
  <c r="A100" i="32"/>
  <c r="E22" i="30"/>
  <c r="A22" i="30"/>
  <c r="B104" i="28"/>
  <c r="A104" i="28"/>
  <c r="C104" i="27"/>
  <c r="A104" i="27"/>
  <c r="G19" i="24"/>
  <c r="A19" i="24"/>
  <c r="G89" i="12"/>
  <c r="A89" i="12"/>
  <c r="G99" i="11"/>
  <c r="A99" i="11"/>
  <c r="H23" i="56"/>
  <c r="B23" i="56"/>
  <c r="H42" i="10"/>
  <c r="B42" i="10"/>
  <c r="E26" i="55"/>
  <c r="A26" i="55"/>
  <c r="E114" i="9"/>
  <c r="A114" i="9"/>
  <c r="D305" i="8"/>
  <c r="B305" i="8"/>
  <c r="I68" i="7"/>
  <c r="A68" i="7"/>
  <c r="C24" i="6"/>
  <c r="A24" i="6"/>
  <c r="D44" i="5"/>
  <c r="A44" i="5"/>
  <c r="C30" i="4"/>
  <c r="A30" i="4"/>
  <c r="H32" i="3"/>
  <c r="A32" i="3"/>
  <c r="D50" i="2"/>
  <c r="B50" i="2"/>
  <c r="D40" i="1"/>
  <c r="C280" i="37"/>
  <c r="E288" i="83" s="1"/>
  <c r="A280" i="37"/>
  <c r="H25" i="56"/>
  <c r="B25" i="56"/>
  <c r="B1" i="56"/>
  <c r="I16" i="55"/>
  <c r="I15" i="55" s="1"/>
  <c r="F16" i="55"/>
  <c r="F15" i="55" s="1"/>
  <c r="D10" i="55"/>
  <c r="C10" i="55"/>
  <c r="E22" i="69" s="1"/>
  <c r="E28" i="55"/>
  <c r="A28" i="55"/>
  <c r="E18" i="55"/>
  <c r="J18" i="55" s="1"/>
  <c r="E17" i="55"/>
  <c r="A1" i="55"/>
  <c r="G251" i="8"/>
  <c r="D251" i="8"/>
  <c r="D80" i="1"/>
  <c r="C24" i="41"/>
  <c r="C14" i="41" s="1"/>
  <c r="E14" i="41" s="1"/>
  <c r="E23" i="52"/>
  <c r="E14" i="54"/>
  <c r="E15" i="54"/>
  <c r="E16" i="54"/>
  <c r="E17" i="54"/>
  <c r="E18" i="54"/>
  <c r="E19" i="54"/>
  <c r="E20" i="54"/>
  <c r="E21" i="54"/>
  <c r="E22" i="54"/>
  <c r="E13" i="54"/>
  <c r="E12" i="54"/>
  <c r="E14" i="52"/>
  <c r="E15" i="52"/>
  <c r="E16" i="52"/>
  <c r="E17" i="52"/>
  <c r="E18" i="52"/>
  <c r="E19" i="52"/>
  <c r="E20" i="52"/>
  <c r="E21" i="52"/>
  <c r="E22" i="52"/>
  <c r="E13" i="52"/>
  <c r="E12" i="52"/>
  <c r="K45" i="40"/>
  <c r="O45" i="40" s="1"/>
  <c r="E31" i="54"/>
  <c r="B31" i="54"/>
  <c r="B19" i="53"/>
  <c r="E29" i="52"/>
  <c r="B29" i="52"/>
  <c r="C27" i="51"/>
  <c r="B27" i="51"/>
  <c r="C30" i="78" s="1"/>
  <c r="B43" i="79" s="1"/>
  <c r="B28" i="80" s="1"/>
  <c r="C28" i="50"/>
  <c r="B28" i="50"/>
  <c r="C30" i="49"/>
  <c r="B30" i="49"/>
  <c r="B65" i="48"/>
  <c r="E110" i="46"/>
  <c r="C65" i="48" s="1"/>
  <c r="A109" i="46"/>
  <c r="C62" i="45"/>
  <c r="A62" i="45"/>
  <c r="A40" i="42"/>
  <c r="A26" i="42"/>
  <c r="C31" i="41"/>
  <c r="A31" i="41"/>
  <c r="I313" i="40"/>
  <c r="A313" i="40"/>
  <c r="C282" i="37"/>
  <c r="E290" i="83" s="1"/>
  <c r="A282" i="37"/>
  <c r="A290" i="83" s="1"/>
  <c r="E30" i="35"/>
  <c r="A30" i="35"/>
  <c r="D34" i="36"/>
  <c r="A34" i="36"/>
  <c r="B23" i="34"/>
  <c r="C111" i="33"/>
  <c r="A111" i="33"/>
  <c r="E24" i="30"/>
  <c r="A24" i="30"/>
  <c r="B106" i="28"/>
  <c r="A106" i="28"/>
  <c r="C106" i="27"/>
  <c r="A106" i="27"/>
  <c r="G21" i="24"/>
  <c r="A21" i="24"/>
  <c r="G91" i="12"/>
  <c r="A91" i="12"/>
  <c r="G101" i="11"/>
  <c r="H44" i="10"/>
  <c r="B44" i="10"/>
  <c r="E116" i="9"/>
  <c r="A116" i="9"/>
  <c r="B307" i="8"/>
  <c r="I70" i="7"/>
  <c r="A70" i="7"/>
  <c r="C26" i="6"/>
  <c r="A26" i="6"/>
  <c r="D46" i="5"/>
  <c r="A46" i="5"/>
  <c r="C32" i="4"/>
  <c r="A32" i="4"/>
  <c r="A34" i="3"/>
  <c r="D52" i="2"/>
  <c r="H34" i="3" s="1"/>
  <c r="B52" i="2"/>
  <c r="A1" i="42"/>
  <c r="F24" i="1"/>
  <c r="D27" i="1"/>
  <c r="F48" i="1"/>
  <c r="D49" i="1"/>
  <c r="F68" i="1"/>
  <c r="F72" i="1"/>
  <c r="F77" i="1"/>
  <c r="D89" i="1"/>
  <c r="A1" i="5"/>
  <c r="C14" i="5"/>
  <c r="C15" i="5"/>
  <c r="C27" i="5"/>
  <c r="C26" i="5" s="1"/>
  <c r="C38" i="5"/>
  <c r="D14" i="5"/>
  <c r="D15" i="5"/>
  <c r="D27" i="5"/>
  <c r="D26" i="5" s="1"/>
  <c r="D38" i="5"/>
  <c r="E14" i="5"/>
  <c r="E15" i="5"/>
  <c r="E27" i="5"/>
  <c r="E26" i="5" s="1"/>
  <c r="E38" i="5"/>
  <c r="F11" i="5"/>
  <c r="F12" i="5"/>
  <c r="F13" i="5"/>
  <c r="F16" i="5"/>
  <c r="F17" i="5"/>
  <c r="F18" i="5"/>
  <c r="F19" i="5"/>
  <c r="F20" i="5"/>
  <c r="F21" i="5"/>
  <c r="F22" i="5"/>
  <c r="F23" i="5"/>
  <c r="F24" i="5"/>
  <c r="F25" i="5"/>
  <c r="F28" i="5"/>
  <c r="F29" i="5"/>
  <c r="F30" i="5"/>
  <c r="F31" i="5"/>
  <c r="F32" i="5"/>
  <c r="F33" i="5"/>
  <c r="F34" i="5"/>
  <c r="F35" i="5"/>
  <c r="F36" i="5"/>
  <c r="F37" i="5"/>
  <c r="B24" i="5"/>
  <c r="B25" i="5" s="1"/>
  <c r="B26" i="5" s="1"/>
  <c r="B27" i="5" s="1"/>
  <c r="B28" i="5" s="1"/>
  <c r="B29" i="5" s="1"/>
  <c r="B30" i="5" s="1"/>
  <c r="B31" i="5" s="1"/>
  <c r="B32" i="5" s="1"/>
  <c r="B33" i="5" s="1"/>
  <c r="B34" i="5" s="1"/>
  <c r="B35" i="5" s="1"/>
  <c r="B36" i="5" s="1"/>
  <c r="B37" i="5" s="1"/>
  <c r="B38" i="5" s="1"/>
  <c r="F39" i="5"/>
  <c r="A1" i="7"/>
  <c r="E9" i="7"/>
  <c r="E14" i="7"/>
  <c r="E15" i="7"/>
  <c r="E17" i="7"/>
  <c r="E18" i="7"/>
  <c r="E19" i="7"/>
  <c r="E25" i="7"/>
  <c r="E26" i="7"/>
  <c r="E30" i="7"/>
  <c r="E31" i="7"/>
  <c r="E33" i="7"/>
  <c r="E35" i="7"/>
  <c r="A1" i="2"/>
  <c r="B23" i="32"/>
  <c r="E13" i="2" s="1"/>
  <c r="D14" i="2"/>
  <c r="B52" i="32"/>
  <c r="E17" i="2" s="1"/>
  <c r="B80" i="32"/>
  <c r="E20" i="2" s="1"/>
  <c r="D21" i="2"/>
  <c r="B30" i="32"/>
  <c r="E25" i="2" s="1"/>
  <c r="D29" i="2"/>
  <c r="B34" i="32"/>
  <c r="B92" i="32"/>
  <c r="E34" i="2" s="1"/>
  <c r="D36" i="2"/>
  <c r="L22" i="10"/>
  <c r="A1" i="19"/>
  <c r="D21" i="10"/>
  <c r="O201" i="40"/>
  <c r="K209" i="40"/>
  <c r="O209" i="40" s="1"/>
  <c r="K215" i="40"/>
  <c r="O215" i="40" s="1"/>
  <c r="K229" i="40"/>
  <c r="O229" i="40" s="1"/>
  <c r="K246" i="40"/>
  <c r="K286" i="40"/>
  <c r="O286" i="40" s="1"/>
  <c r="K261" i="40"/>
  <c r="O261" i="40" s="1"/>
  <c r="A1" i="22"/>
  <c r="F12" i="22"/>
  <c r="G12" i="22"/>
  <c r="H12" i="22"/>
  <c r="F16" i="22"/>
  <c r="G16" i="22"/>
  <c r="H16" i="22"/>
  <c r="F20" i="22"/>
  <c r="G20" i="22"/>
  <c r="H20" i="22"/>
  <c r="F25" i="22"/>
  <c r="G25" i="22"/>
  <c r="F28" i="22"/>
  <c r="G28" i="22"/>
  <c r="H28" i="22"/>
  <c r="F32" i="22"/>
  <c r="G32" i="22"/>
  <c r="H32" i="22"/>
  <c r="F36" i="22"/>
  <c r="G36" i="22"/>
  <c r="H36" i="22"/>
  <c r="F38" i="22"/>
  <c r="G38" i="22"/>
  <c r="F41" i="22"/>
  <c r="G41" i="22"/>
  <c r="H41" i="22"/>
  <c r="F45" i="22"/>
  <c r="G45" i="22"/>
  <c r="H45" i="22"/>
  <c r="F49" i="22"/>
  <c r="G49" i="22"/>
  <c r="H49" i="22"/>
  <c r="A1" i="23"/>
  <c r="E8" i="23"/>
  <c r="E9" i="23"/>
  <c r="A1" i="20"/>
  <c r="E43" i="20"/>
  <c r="E44" i="20"/>
  <c r="A64" i="20"/>
  <c r="A1" i="25"/>
  <c r="D9" i="25"/>
  <c r="E19" i="25"/>
  <c r="E9" i="25" s="1"/>
  <c r="F19" i="25"/>
  <c r="F9" i="25" s="1"/>
  <c r="G19" i="25"/>
  <c r="G9" i="25" s="1"/>
  <c r="H19" i="25"/>
  <c r="H9" i="25" s="1"/>
  <c r="I19" i="25"/>
  <c r="I9" i="25" s="1"/>
  <c r="J19" i="25"/>
  <c r="J9" i="25" s="1"/>
  <c r="K19" i="25"/>
  <c r="K9" i="25" s="1"/>
  <c r="L19" i="25"/>
  <c r="L9" i="25" s="1"/>
  <c r="M19" i="25"/>
  <c r="M9" i="25" s="1"/>
  <c r="A10" i="25"/>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1" i="3"/>
  <c r="D11" i="3"/>
  <c r="C12" i="33"/>
  <c r="C11" i="33" s="1"/>
  <c r="C58" i="33"/>
  <c r="C60" i="33"/>
  <c r="C67" i="33"/>
  <c r="C83" i="33"/>
  <c r="C93" i="33"/>
  <c r="C96" i="33"/>
  <c r="D12" i="3"/>
  <c r="K37" i="40"/>
  <c r="O37" i="40" s="1"/>
  <c r="K40" i="40"/>
  <c r="K41" i="40"/>
  <c r="O41" i="40" s="1"/>
  <c r="K42" i="40"/>
  <c r="O42" i="40" s="1"/>
  <c r="K44" i="40"/>
  <c r="O44" i="40" s="1"/>
  <c r="K49" i="40"/>
  <c r="O49" i="40" s="1"/>
  <c r="K50" i="40"/>
  <c r="O50" i="40" s="1"/>
  <c r="K51" i="40"/>
  <c r="O51" i="40" s="1"/>
  <c r="K52" i="40"/>
  <c r="O52" i="40" s="1"/>
  <c r="K53" i="40"/>
  <c r="O53" i="40" s="1"/>
  <c r="K59" i="40"/>
  <c r="O59" i="40" s="1"/>
  <c r="K60" i="40"/>
  <c r="O60" i="40" s="1"/>
  <c r="K61" i="40"/>
  <c r="O61" i="40" s="1"/>
  <c r="K62" i="40"/>
  <c r="O62" i="40" s="1"/>
  <c r="K63" i="40"/>
  <c r="O63" i="40" s="1"/>
  <c r="K64" i="40"/>
  <c r="O64" i="40" s="1"/>
  <c r="K65" i="40"/>
  <c r="O65" i="40" s="1"/>
  <c r="K68" i="40"/>
  <c r="O68" i="40" s="1"/>
  <c r="K69" i="40"/>
  <c r="O69" i="40" s="1"/>
  <c r="K74" i="40"/>
  <c r="O74" i="40" s="1"/>
  <c r="K72" i="40"/>
  <c r="O72" i="40" s="1"/>
  <c r="K76" i="40"/>
  <c r="O76" i="40" s="1"/>
  <c r="K77" i="40"/>
  <c r="O77" i="40" s="1"/>
  <c r="K78" i="40"/>
  <c r="O78" i="40" s="1"/>
  <c r="K79" i="40"/>
  <c r="O79" i="40" s="1"/>
  <c r="K80" i="40"/>
  <c r="K81" i="40"/>
  <c r="O81" i="40" s="1"/>
  <c r="K84" i="40"/>
  <c r="O84" i="40" s="1"/>
  <c r="K85" i="40"/>
  <c r="O85" i="40" s="1"/>
  <c r="K125" i="40"/>
  <c r="O125" i="40" s="1"/>
  <c r="K126" i="40"/>
  <c r="K127" i="40"/>
  <c r="O127" i="40" s="1"/>
  <c r="K128" i="40"/>
  <c r="O128" i="40" s="1"/>
  <c r="K129" i="40"/>
  <c r="O129" i="40" s="1"/>
  <c r="K88" i="40"/>
  <c r="K108" i="40"/>
  <c r="O108" i="40" s="1"/>
  <c r="K109" i="40"/>
  <c r="O109" i="40" s="1"/>
  <c r="K112" i="40"/>
  <c r="K120" i="40"/>
  <c r="I75" i="11" s="1"/>
  <c r="D12" i="33"/>
  <c r="D11" i="33" s="1"/>
  <c r="D58" i="33"/>
  <c r="D60" i="33"/>
  <c r="D67" i="33"/>
  <c r="D83" i="33"/>
  <c r="D70" i="33" s="1"/>
  <c r="D69" i="33" s="1"/>
  <c r="D93" i="33"/>
  <c r="D96" i="33"/>
  <c r="E13" i="3"/>
  <c r="F13" i="3"/>
  <c r="G13" i="3"/>
  <c r="H13" i="3"/>
  <c r="J13" i="3"/>
  <c r="K13" i="3"/>
  <c r="L13" i="3"/>
  <c r="M13" i="3"/>
  <c r="N13" i="3"/>
  <c r="O13" i="3"/>
  <c r="Q16" i="3"/>
  <c r="Q17" i="3" s="1"/>
  <c r="D17" i="3"/>
  <c r="E17" i="3"/>
  <c r="F17" i="3"/>
  <c r="G17" i="3"/>
  <c r="H17" i="3"/>
  <c r="J17" i="3"/>
  <c r="K17" i="3"/>
  <c r="L17" i="3"/>
  <c r="M17" i="3"/>
  <c r="N17" i="3"/>
  <c r="O17" i="3"/>
  <c r="D21" i="3"/>
  <c r="E21" i="3"/>
  <c r="F21" i="3"/>
  <c r="G21" i="3"/>
  <c r="H21" i="3"/>
  <c r="J21" i="3"/>
  <c r="K21" i="3"/>
  <c r="L21" i="3"/>
  <c r="M21" i="3"/>
  <c r="N21" i="3"/>
  <c r="O21" i="3"/>
  <c r="Q21" i="3"/>
  <c r="Q23" i="3"/>
  <c r="C23" i="3" s="1"/>
  <c r="H14" i="9"/>
  <c r="H15" i="9"/>
  <c r="H16" i="9"/>
  <c r="H17" i="9"/>
  <c r="H21" i="9"/>
  <c r="H22" i="9"/>
  <c r="H23" i="9"/>
  <c r="H26" i="9"/>
  <c r="H35" i="9"/>
  <c r="H36" i="9"/>
  <c r="H43" i="9"/>
  <c r="H44" i="9"/>
  <c r="H45" i="9"/>
  <c r="H46" i="9"/>
  <c r="H47" i="9"/>
  <c r="H56" i="9"/>
  <c r="J56" i="9" s="1"/>
  <c r="H48" i="9"/>
  <c r="H49" i="9"/>
  <c r="H50" i="9"/>
  <c r="H60" i="9"/>
  <c r="H59" i="9" s="1"/>
  <c r="H62" i="9"/>
  <c r="H61" i="9" s="1"/>
  <c r="H66" i="9"/>
  <c r="H67" i="9"/>
  <c r="H69" i="9"/>
  <c r="H68" i="9" s="1"/>
  <c r="H73" i="9"/>
  <c r="H74" i="9"/>
  <c r="H75" i="9"/>
  <c r="H76" i="9"/>
  <c r="H77" i="9"/>
  <c r="H78" i="9"/>
  <c r="H79" i="9"/>
  <c r="H80" i="9"/>
  <c r="H82" i="9"/>
  <c r="H85" i="9"/>
  <c r="H86" i="9"/>
  <c r="H87" i="9"/>
  <c r="H88" i="9"/>
  <c r="H89" i="9"/>
  <c r="H90" i="9"/>
  <c r="H91" i="9"/>
  <c r="J91" i="9" s="1"/>
  <c r="A1" i="27"/>
  <c r="C17" i="27"/>
  <c r="C17" i="28" s="1"/>
  <c r="C30" i="27"/>
  <c r="C30" i="28" s="1"/>
  <c r="C36" i="27"/>
  <c r="C48" i="27"/>
  <c r="C54" i="27"/>
  <c r="C60" i="27"/>
  <c r="C66" i="27"/>
  <c r="C76" i="27"/>
  <c r="C73" i="27" s="1"/>
  <c r="C83" i="27"/>
  <c r="C89" i="27"/>
  <c r="C95" i="27"/>
  <c r="D17" i="27"/>
  <c r="D17" i="28" s="1"/>
  <c r="D30" i="27"/>
  <c r="D36" i="27"/>
  <c r="F36" i="27" s="1"/>
  <c r="D48" i="27"/>
  <c r="D54" i="27"/>
  <c r="D60" i="27"/>
  <c r="F60" i="27" s="1"/>
  <c r="D66" i="27"/>
  <c r="D76" i="27"/>
  <c r="D73" i="27" s="1"/>
  <c r="D83" i="27"/>
  <c r="D89" i="27"/>
  <c r="D95" i="27"/>
  <c r="E30" i="27"/>
  <c r="E30" i="28" s="1"/>
  <c r="E36" i="27"/>
  <c r="E48" i="27"/>
  <c r="E54" i="27"/>
  <c r="E60" i="27"/>
  <c r="E66" i="27"/>
  <c r="E76" i="27"/>
  <c r="E73" i="27" s="1"/>
  <c r="E83" i="27"/>
  <c r="E89" i="27"/>
  <c r="E95" i="27"/>
  <c r="C43" i="27"/>
  <c r="C25" i="27" s="1"/>
  <c r="D43" i="27"/>
  <c r="D25" i="27" s="1"/>
  <c r="E43" i="27"/>
  <c r="E25" i="27" s="1"/>
  <c r="E25" i="28" s="1"/>
  <c r="C44" i="27"/>
  <c r="C26" i="27" s="1"/>
  <c r="D44" i="27"/>
  <c r="D26" i="27" s="1"/>
  <c r="E44" i="27"/>
  <c r="E26" i="27" s="1"/>
  <c r="E26" i="28" s="1"/>
  <c r="C45" i="27"/>
  <c r="C27" i="27" s="1"/>
  <c r="D45" i="27"/>
  <c r="D27" i="27" s="1"/>
  <c r="E45" i="27"/>
  <c r="E27" i="27" s="1"/>
  <c r="E27" i="28" s="1"/>
  <c r="C46" i="27"/>
  <c r="C28" i="27" s="1"/>
  <c r="D46" i="27"/>
  <c r="D28" i="27" s="1"/>
  <c r="E46" i="27"/>
  <c r="E28" i="27" s="1"/>
  <c r="C47" i="27"/>
  <c r="C29" i="27" s="1"/>
  <c r="D47" i="27"/>
  <c r="D29" i="27" s="1"/>
  <c r="E47" i="27"/>
  <c r="E29" i="27" s="1"/>
  <c r="E29" i="28" s="1"/>
  <c r="F54" i="27"/>
  <c r="A1" i="28"/>
  <c r="C37" i="28"/>
  <c r="C38" i="28"/>
  <c r="C39" i="28"/>
  <c r="C40" i="28"/>
  <c r="C41" i="28"/>
  <c r="C49" i="28"/>
  <c r="C50" i="28"/>
  <c r="C51" i="28"/>
  <c r="C52" i="28"/>
  <c r="C53" i="28"/>
  <c r="C55" i="28"/>
  <c r="C56" i="28"/>
  <c r="C57" i="28"/>
  <c r="C45" i="28" s="1"/>
  <c r="C58" i="28"/>
  <c r="C59" i="28"/>
  <c r="C61" i="28"/>
  <c r="C62" i="28"/>
  <c r="C63" i="28"/>
  <c r="C64" i="28"/>
  <c r="C65" i="28"/>
  <c r="C67" i="28"/>
  <c r="C68" i="28"/>
  <c r="C69" i="28"/>
  <c r="C71" i="28"/>
  <c r="C72" i="28"/>
  <c r="C74" i="28"/>
  <c r="C75" i="28"/>
  <c r="C77" i="28"/>
  <c r="C78" i="28"/>
  <c r="C79" i="28"/>
  <c r="C80" i="28"/>
  <c r="C81" i="28"/>
  <c r="C82" i="28"/>
  <c r="C84" i="28"/>
  <c r="C85" i="28"/>
  <c r="C86" i="28"/>
  <c r="C88" i="28"/>
  <c r="C87" i="28"/>
  <c r="C90" i="28"/>
  <c r="C91" i="28"/>
  <c r="C92" i="28"/>
  <c r="C93" i="28"/>
  <c r="C94" i="28"/>
  <c r="C96" i="28"/>
  <c r="C97" i="28"/>
  <c r="C98" i="28"/>
  <c r="C99" i="28"/>
  <c r="C100" i="28"/>
  <c r="D37" i="28"/>
  <c r="D38" i="28"/>
  <c r="D39" i="28"/>
  <c r="D40" i="28"/>
  <c r="D41" i="28"/>
  <c r="D49" i="28"/>
  <c r="D50" i="28"/>
  <c r="D51" i="28"/>
  <c r="D52" i="28"/>
  <c r="D53" i="28"/>
  <c r="D55" i="28"/>
  <c r="D56" i="28"/>
  <c r="D57" i="28"/>
  <c r="D58" i="28"/>
  <c r="D54" i="28" s="1"/>
  <c r="F54" i="28" s="1"/>
  <c r="D59" i="28"/>
  <c r="D61" i="28"/>
  <c r="D62" i="28"/>
  <c r="D63" i="28"/>
  <c r="D64" i="28"/>
  <c r="D65" i="28"/>
  <c r="D67" i="28"/>
  <c r="D68" i="28"/>
  <c r="D69" i="28"/>
  <c r="D71" i="28"/>
  <c r="D72" i="28"/>
  <c r="D74" i="28"/>
  <c r="D75" i="28"/>
  <c r="D77" i="28"/>
  <c r="D78" i="28"/>
  <c r="D79" i="28"/>
  <c r="D80" i="28"/>
  <c r="D81" i="28"/>
  <c r="D82" i="28"/>
  <c r="D84" i="28"/>
  <c r="D85" i="28"/>
  <c r="D86" i="28"/>
  <c r="D88" i="28"/>
  <c r="D87" i="28"/>
  <c r="D90" i="28"/>
  <c r="D91" i="28"/>
  <c r="D92" i="28"/>
  <c r="D93" i="28"/>
  <c r="D94" i="28"/>
  <c r="D96" i="28"/>
  <c r="D97" i="28"/>
  <c r="D98" i="28"/>
  <c r="D99" i="28"/>
  <c r="D100" i="28"/>
  <c r="E37" i="28"/>
  <c r="E38" i="28"/>
  <c r="E39" i="28"/>
  <c r="E40" i="28"/>
  <c r="E41" i="28"/>
  <c r="E49" i="28"/>
  <c r="E50" i="28"/>
  <c r="E51" i="28"/>
  <c r="E52" i="28"/>
  <c r="E53" i="28"/>
  <c r="E55" i="28"/>
  <c r="E56" i="28"/>
  <c r="E57" i="28"/>
  <c r="E58" i="28"/>
  <c r="E59" i="28"/>
  <c r="E61" i="28"/>
  <c r="E62" i="28"/>
  <c r="E63" i="28"/>
  <c r="E64" i="28"/>
  <c r="E65" i="28"/>
  <c r="E67" i="28"/>
  <c r="E68" i="28"/>
  <c r="E69" i="28"/>
  <c r="E71" i="28"/>
  <c r="E72" i="28"/>
  <c r="E74" i="28"/>
  <c r="E75" i="28"/>
  <c r="E77" i="28"/>
  <c r="E78" i="28"/>
  <c r="E79" i="28"/>
  <c r="E80" i="28"/>
  <c r="E81" i="28"/>
  <c r="E82" i="28"/>
  <c r="E84" i="28"/>
  <c r="E85" i="28"/>
  <c r="E86" i="28"/>
  <c r="E88" i="28"/>
  <c r="E87" i="28"/>
  <c r="E90" i="28"/>
  <c r="E91" i="28"/>
  <c r="E92" i="28"/>
  <c r="E93" i="28"/>
  <c r="E94" i="28"/>
  <c r="E96" i="28"/>
  <c r="E97" i="28"/>
  <c r="E98" i="28"/>
  <c r="E99" i="28"/>
  <c r="E100" i="28"/>
  <c r="C70" i="28"/>
  <c r="D70" i="28"/>
  <c r="E70" i="28"/>
  <c r="A1" i="6"/>
  <c r="D21" i="6"/>
  <c r="E21" i="6"/>
  <c r="A1" i="14"/>
  <c r="F8" i="14"/>
  <c r="J38" i="18" s="1"/>
  <c r="F9" i="14"/>
  <c r="H9" i="14" s="1"/>
  <c r="H10" i="14"/>
  <c r="F11" i="14"/>
  <c r="F12" i="14"/>
  <c r="F13" i="14"/>
  <c r="H13" i="14" s="1"/>
  <c r="F14" i="14"/>
  <c r="F15" i="14"/>
  <c r="F16" i="14"/>
  <c r="F17" i="14"/>
  <c r="H17" i="14" s="1"/>
  <c r="F18" i="14"/>
  <c r="F20" i="14"/>
  <c r="F21" i="14"/>
  <c r="F28" i="14"/>
  <c r="H28" i="14" s="1"/>
  <c r="F29" i="14"/>
  <c r="F36" i="14" s="1"/>
  <c r="F30" i="14"/>
  <c r="H30" i="14" s="1"/>
  <c r="F31" i="14"/>
  <c r="G31" i="14" s="1"/>
  <c r="C32" i="14"/>
  <c r="C33" i="14"/>
  <c r="C34" i="14" s="1"/>
  <c r="C35" i="14"/>
  <c r="E35" i="14"/>
  <c r="C37" i="14"/>
  <c r="C38" i="14"/>
  <c r="A1" i="15"/>
  <c r="F20" i="15"/>
  <c r="F21" i="15"/>
  <c r="F22" i="15"/>
  <c r="E23" i="15"/>
  <c r="B17" i="30" s="1"/>
  <c r="G23" i="15"/>
  <c r="H23" i="15"/>
  <c r="I23" i="15"/>
  <c r="J23" i="15"/>
  <c r="K23" i="15"/>
  <c r="F25" i="15"/>
  <c r="E38" i="15"/>
  <c r="G26" i="15"/>
  <c r="G38" i="15" s="1"/>
  <c r="H26" i="15"/>
  <c r="H38" i="15" s="1"/>
  <c r="I26" i="15"/>
  <c r="I38" i="15" s="1"/>
  <c r="J26" i="15"/>
  <c r="J38" i="15" s="1"/>
  <c r="K26" i="15"/>
  <c r="K38" i="15" s="1"/>
  <c r="F27" i="15"/>
  <c r="F28" i="15"/>
  <c r="F29" i="15"/>
  <c r="F30" i="15"/>
  <c r="F31" i="15"/>
  <c r="F32" i="15"/>
  <c r="F33" i="15"/>
  <c r="F34" i="15"/>
  <c r="F35" i="15"/>
  <c r="F36" i="15"/>
  <c r="F37" i="15"/>
  <c r="A1" i="16"/>
  <c r="C19" i="16"/>
  <c r="J19" i="16" s="1"/>
  <c r="N19" i="16"/>
  <c r="C20" i="16"/>
  <c r="N20" i="16"/>
  <c r="C21" i="16"/>
  <c r="N21" i="16"/>
  <c r="D22" i="16"/>
  <c r="E22" i="16"/>
  <c r="F22" i="16"/>
  <c r="G22" i="16"/>
  <c r="H22" i="16"/>
  <c r="I22" i="16"/>
  <c r="L22" i="16"/>
  <c r="M22" i="16"/>
  <c r="P22" i="16"/>
  <c r="Q22" i="16"/>
  <c r="F19" i="17"/>
  <c r="H19" i="17"/>
  <c r="I19" i="17"/>
  <c r="J19" i="17"/>
  <c r="K19" i="17"/>
  <c r="L19" i="17"/>
  <c r="D19" i="18"/>
  <c r="E19" i="18"/>
  <c r="F19" i="18"/>
  <c r="G19" i="18"/>
  <c r="H19" i="18"/>
  <c r="S23" i="16"/>
  <c r="C24" i="16"/>
  <c r="N24" i="16"/>
  <c r="D37" i="16"/>
  <c r="D38" i="16" s="1"/>
  <c r="E37" i="16"/>
  <c r="F25" i="16"/>
  <c r="F37" i="16" s="1"/>
  <c r="G25" i="16"/>
  <c r="G37" i="16" s="1"/>
  <c r="H25" i="16"/>
  <c r="H37" i="16" s="1"/>
  <c r="H38" i="16" s="1"/>
  <c r="I37" i="16"/>
  <c r="P37" i="16"/>
  <c r="Q37" i="16"/>
  <c r="C26" i="16"/>
  <c r="N26" i="16"/>
  <c r="C27" i="16"/>
  <c r="N27" i="16"/>
  <c r="C28" i="16"/>
  <c r="N28" i="16"/>
  <c r="C29" i="16"/>
  <c r="N29" i="16"/>
  <c r="C30" i="16"/>
  <c r="J30" i="16" s="1"/>
  <c r="S30" i="16" s="1"/>
  <c r="C31" i="16"/>
  <c r="C32" i="16"/>
  <c r="C33" i="16"/>
  <c r="C34" i="16"/>
  <c r="C35" i="16"/>
  <c r="C36" i="16"/>
  <c r="D43" i="16"/>
  <c r="A47" i="16"/>
  <c r="A1" i="17"/>
  <c r="G17" i="17"/>
  <c r="G18" i="17"/>
  <c r="G20" i="17"/>
  <c r="I20" i="18" s="1"/>
  <c r="G21" i="17"/>
  <c r="F23" i="17"/>
  <c r="F36" i="17" s="1"/>
  <c r="G24" i="17"/>
  <c r="G25" i="17"/>
  <c r="G26" i="17"/>
  <c r="G27" i="17"/>
  <c r="G28" i="17"/>
  <c r="G29" i="17"/>
  <c r="G30" i="17"/>
  <c r="G31" i="17"/>
  <c r="H23" i="17"/>
  <c r="H36" i="17" s="1"/>
  <c r="H37" i="17" s="1"/>
  <c r="I23" i="17"/>
  <c r="I36" i="17" s="1"/>
  <c r="J23" i="17"/>
  <c r="J36" i="17" s="1"/>
  <c r="J37" i="17" s="1"/>
  <c r="K23" i="17"/>
  <c r="K36" i="17" s="1"/>
  <c r="L23" i="17"/>
  <c r="L36" i="17" s="1"/>
  <c r="L37" i="17" s="1"/>
  <c r="G32" i="17"/>
  <c r="G33" i="17"/>
  <c r="G34" i="17"/>
  <c r="G35" i="17"/>
  <c r="M35" i="17"/>
  <c r="A44" i="17"/>
  <c r="A1" i="18"/>
  <c r="C17" i="18"/>
  <c r="C18" i="18"/>
  <c r="J19" i="18"/>
  <c r="J37" i="18" s="1"/>
  <c r="C21" i="18"/>
  <c r="C22" i="18"/>
  <c r="D23" i="18"/>
  <c r="D36" i="18" s="1"/>
  <c r="D37" i="18" s="1"/>
  <c r="E23" i="18"/>
  <c r="F23" i="18"/>
  <c r="F36" i="18" s="1"/>
  <c r="G23" i="18"/>
  <c r="G36" i="18" s="1"/>
  <c r="H23" i="18"/>
  <c r="H36" i="18" s="1"/>
  <c r="K23" i="18"/>
  <c r="L23" i="18"/>
  <c r="L36" i="18" s="1"/>
  <c r="L37" i="18" s="1"/>
  <c r="M23" i="18"/>
  <c r="M36" i="18" s="1"/>
  <c r="M37" i="18" s="1"/>
  <c r="N23" i="18"/>
  <c r="N36" i="18" s="1"/>
  <c r="N37" i="18" s="1"/>
  <c r="O23" i="18"/>
  <c r="O36" i="18" s="1"/>
  <c r="O37" i="18" s="1"/>
  <c r="P23" i="18"/>
  <c r="P36" i="18" s="1"/>
  <c r="P37" i="18" s="1"/>
  <c r="C24" i="18"/>
  <c r="C25" i="18"/>
  <c r="C26" i="18"/>
  <c r="C27" i="18"/>
  <c r="C28" i="18"/>
  <c r="C29" i="18"/>
  <c r="C30" i="18"/>
  <c r="C31" i="18"/>
  <c r="C32" i="18"/>
  <c r="C33" i="18"/>
  <c r="C34" i="18"/>
  <c r="C35" i="18"/>
  <c r="A43" i="18"/>
  <c r="A1" i="8"/>
  <c r="D15" i="8"/>
  <c r="D24" i="8"/>
  <c r="D27" i="8"/>
  <c r="F29" i="8"/>
  <c r="D24" i="4"/>
  <c r="D35" i="8" s="1"/>
  <c r="D12" i="4"/>
  <c r="D13" i="4"/>
  <c r="D18" i="4"/>
  <c r="D22" i="4"/>
  <c r="D41" i="8"/>
  <c r="F44" i="8"/>
  <c r="D49" i="8"/>
  <c r="F53" i="8"/>
  <c r="D56" i="8"/>
  <c r="D62" i="8" s="1"/>
  <c r="D66" i="8"/>
  <c r="D69" i="8" s="1"/>
  <c r="D70" i="8"/>
  <c r="D75" i="8"/>
  <c r="D78" i="8" s="1"/>
  <c r="D79" i="8"/>
  <c r="D89" i="8"/>
  <c r="D94" i="8"/>
  <c r="D97" i="8"/>
  <c r="G97" i="8"/>
  <c r="G100" i="8"/>
  <c r="C106" i="8"/>
  <c r="F110" i="8"/>
  <c r="G110" i="8"/>
  <c r="C111" i="8"/>
  <c r="C112" i="8" s="1"/>
  <c r="C113" i="8" s="1"/>
  <c r="C114" i="8" s="1"/>
  <c r="C115" i="8" s="1"/>
  <c r="C116" i="8" s="1"/>
  <c r="C117" i="8" s="1"/>
  <c r="F132" i="8"/>
  <c r="D149" i="8"/>
  <c r="D154" i="8" s="1"/>
  <c r="D156" i="8" s="1"/>
  <c r="C152" i="8"/>
  <c r="C153" i="8" s="1"/>
  <c r="C154" i="8" s="1"/>
  <c r="C155" i="8" s="1"/>
  <c r="D158" i="8"/>
  <c r="D163" i="8" s="1"/>
  <c r="D165" i="8" s="1"/>
  <c r="C161" i="8"/>
  <c r="C162" i="8" s="1"/>
  <c r="C163" i="8" s="1"/>
  <c r="C164" i="8" s="1"/>
  <c r="D168" i="8"/>
  <c r="D174" i="8" s="1"/>
  <c r="C171" i="8"/>
  <c r="C172" i="8" s="1"/>
  <c r="C174" i="8"/>
  <c r="C175" i="8" s="1"/>
  <c r="D175" i="8"/>
  <c r="D180" i="8" s="1"/>
  <c r="C179" i="8"/>
  <c r="D183" i="8"/>
  <c r="D188" i="8"/>
  <c r="D194" i="8"/>
  <c r="D199" i="8" s="1"/>
  <c r="C196" i="8"/>
  <c r="C197" i="8" s="1"/>
  <c r="D200" i="8"/>
  <c r="D205" i="8" s="1"/>
  <c r="D208" i="8"/>
  <c r="D213" i="8"/>
  <c r="D222" i="8"/>
  <c r="C221" i="8"/>
  <c r="C222" i="8" s="1"/>
  <c r="C223" i="8" s="1"/>
  <c r="C224" i="8" s="1"/>
  <c r="C225" i="8" s="1"/>
  <c r="C226" i="8" s="1"/>
  <c r="C227" i="8" s="1"/>
  <c r="F228" i="8"/>
  <c r="F240" i="8"/>
  <c r="F241" i="8"/>
  <c r="G241" i="8"/>
  <c r="F246" i="8"/>
  <c r="G246" i="8"/>
  <c r="F251" i="8"/>
  <c r="D259" i="8"/>
  <c r="D257" i="8" s="1"/>
  <c r="C259" i="8"/>
  <c r="C260" i="8" s="1"/>
  <c r="C261" i="8" s="1"/>
  <c r="C262" i="8" s="1"/>
  <c r="C263" i="8" s="1"/>
  <c r="C264" i="8" s="1"/>
  <c r="D268" i="8"/>
  <c r="D272" i="8"/>
  <c r="A1" i="9"/>
  <c r="C13" i="9"/>
  <c r="C12" i="9" s="1"/>
  <c r="C59" i="9"/>
  <c r="C61" i="9"/>
  <c r="C84" i="9"/>
  <c r="D13" i="9"/>
  <c r="D12" i="9" s="1"/>
  <c r="D59" i="9"/>
  <c r="D61" i="9"/>
  <c r="D84" i="9"/>
  <c r="F13" i="9"/>
  <c r="F12" i="9" s="1"/>
  <c r="F59" i="9"/>
  <c r="F61" i="9"/>
  <c r="F68" i="9"/>
  <c r="F63" i="9" s="1"/>
  <c r="G13" i="9"/>
  <c r="G12" i="9" s="1"/>
  <c r="G59" i="9"/>
  <c r="G61" i="9"/>
  <c r="E61" i="9" s="1"/>
  <c r="G68" i="9"/>
  <c r="F84" i="9"/>
  <c r="G84" i="9"/>
  <c r="I13" i="9"/>
  <c r="I12" i="9" s="1"/>
  <c r="I59" i="9"/>
  <c r="I61" i="9"/>
  <c r="I68" i="9"/>
  <c r="I63" i="9" s="1"/>
  <c r="I84" i="9"/>
  <c r="E14" i="9"/>
  <c r="E15" i="9"/>
  <c r="E16" i="9"/>
  <c r="E17" i="9"/>
  <c r="E21" i="9"/>
  <c r="E22" i="9"/>
  <c r="E23" i="9"/>
  <c r="E26" i="9"/>
  <c r="E42" i="9"/>
  <c r="J42" i="9" s="1"/>
  <c r="E43" i="9"/>
  <c r="E44" i="9"/>
  <c r="E45" i="9"/>
  <c r="E46" i="9"/>
  <c r="E47" i="9"/>
  <c r="E48" i="9"/>
  <c r="E49" i="9"/>
  <c r="E50" i="9"/>
  <c r="E60" i="9"/>
  <c r="E66" i="9"/>
  <c r="E67" i="9"/>
  <c r="E73" i="9"/>
  <c r="E74" i="9"/>
  <c r="E75" i="9"/>
  <c r="E76" i="9"/>
  <c r="E77" i="9"/>
  <c r="E78" i="9"/>
  <c r="E79" i="9"/>
  <c r="E80" i="9"/>
  <c r="E81" i="9"/>
  <c r="E82" i="9"/>
  <c r="E85" i="9"/>
  <c r="E86" i="9"/>
  <c r="E87" i="9"/>
  <c r="E88" i="9"/>
  <c r="E89" i="9"/>
  <c r="E90" i="9"/>
  <c r="F103" i="9"/>
  <c r="F102" i="9" s="1"/>
  <c r="G103" i="9"/>
  <c r="G102" i="9" s="1"/>
  <c r="B1" i="10"/>
  <c r="C73" i="40"/>
  <c r="C75" i="40"/>
  <c r="C83" i="40"/>
  <c r="C124" i="40"/>
  <c r="C87" i="40"/>
  <c r="C28" i="40"/>
  <c r="C298" i="40"/>
  <c r="E73" i="40"/>
  <c r="E75" i="40"/>
  <c r="E83" i="40"/>
  <c r="E124" i="40"/>
  <c r="E87" i="40"/>
  <c r="F73" i="40"/>
  <c r="F75" i="40"/>
  <c r="F83" i="40"/>
  <c r="F124" i="40"/>
  <c r="F87" i="40"/>
  <c r="F63" i="11"/>
  <c r="I87" i="40"/>
  <c r="I86" i="40" s="1"/>
  <c r="I119" i="40"/>
  <c r="I28" i="40" s="1"/>
  <c r="I17" i="40" s="1"/>
  <c r="I298" i="40"/>
  <c r="I180" i="40"/>
  <c r="M73" i="40"/>
  <c r="M75" i="40"/>
  <c r="M83" i="40"/>
  <c r="M124" i="40"/>
  <c r="M123" i="40" s="1"/>
  <c r="M122" i="40" s="1"/>
  <c r="M87" i="40"/>
  <c r="M86" i="40" s="1"/>
  <c r="K63" i="11"/>
  <c r="K66" i="11"/>
  <c r="M298" i="40"/>
  <c r="L32" i="10" s="1"/>
  <c r="F11" i="10"/>
  <c r="G11" i="10"/>
  <c r="L11" i="10"/>
  <c r="F14" i="10"/>
  <c r="F15" i="10"/>
  <c r="D17" i="10"/>
  <c r="F17" i="10"/>
  <c r="G17" i="10"/>
  <c r="L17" i="10"/>
  <c r="D18" i="10"/>
  <c r="F18" i="10"/>
  <c r="G18" i="10"/>
  <c r="L18" i="10"/>
  <c r="G20" i="10"/>
  <c r="F21" i="10"/>
  <c r="G21" i="10"/>
  <c r="L21" i="10"/>
  <c r="L23" i="10"/>
  <c r="D25" i="10"/>
  <c r="F25" i="10"/>
  <c r="G25" i="10"/>
  <c r="L25" i="10"/>
  <c r="G28" i="10"/>
  <c r="D29" i="10"/>
  <c r="F29" i="10"/>
  <c r="G29" i="10"/>
  <c r="L29" i="10"/>
  <c r="D30" i="10"/>
  <c r="F30" i="10"/>
  <c r="G30" i="10"/>
  <c r="L30" i="10"/>
  <c r="D33" i="10"/>
  <c r="F33" i="10"/>
  <c r="G33" i="10"/>
  <c r="L33" i="10"/>
  <c r="D34" i="10"/>
  <c r="F34" i="10"/>
  <c r="G34" i="10"/>
  <c r="L34" i="10"/>
  <c r="F36" i="10"/>
  <c r="F35" i="10" s="1"/>
  <c r="E93" i="11" s="1"/>
  <c r="E92" i="11" s="1"/>
  <c r="G36" i="10"/>
  <c r="G35" i="10" s="1"/>
  <c r="F93" i="11" s="1"/>
  <c r="F92" i="11" s="1"/>
  <c r="J36" i="10"/>
  <c r="J35" i="10" s="1"/>
  <c r="A1" i="11"/>
  <c r="C75" i="11"/>
  <c r="C83" i="11"/>
  <c r="C84" i="11"/>
  <c r="C85" i="11"/>
  <c r="C86" i="11"/>
  <c r="C87" i="11"/>
  <c r="E12" i="11"/>
  <c r="E15" i="11"/>
  <c r="E16" i="11"/>
  <c r="E17" i="11"/>
  <c r="E19" i="11"/>
  <c r="E23" i="11"/>
  <c r="E24" i="11"/>
  <c r="E25" i="11"/>
  <c r="E26" i="11"/>
  <c r="E27" i="11"/>
  <c r="E32" i="11"/>
  <c r="E33" i="11"/>
  <c r="E34" i="11"/>
  <c r="E35" i="11"/>
  <c r="E36" i="11"/>
  <c r="E37" i="11"/>
  <c r="E38" i="11"/>
  <c r="E40" i="11"/>
  <c r="E41" i="11"/>
  <c r="E43" i="11"/>
  <c r="E42" i="11" s="1"/>
  <c r="E45" i="11"/>
  <c r="E46" i="11"/>
  <c r="E47" i="11"/>
  <c r="E48" i="11"/>
  <c r="E49" i="11"/>
  <c r="E50" i="11"/>
  <c r="E53" i="11"/>
  <c r="E54" i="11"/>
  <c r="E57" i="11"/>
  <c r="E56" i="11" s="1"/>
  <c r="E55" i="11" s="1"/>
  <c r="E75" i="11"/>
  <c r="E83" i="11"/>
  <c r="E84" i="11"/>
  <c r="E85" i="11"/>
  <c r="E86" i="11"/>
  <c r="E87" i="11"/>
  <c r="F12" i="11"/>
  <c r="F15" i="11"/>
  <c r="F16" i="11"/>
  <c r="F17" i="11"/>
  <c r="F19" i="11"/>
  <c r="F23" i="11"/>
  <c r="F24" i="11"/>
  <c r="F25" i="11"/>
  <c r="F26" i="11"/>
  <c r="F27" i="11"/>
  <c r="F32" i="11"/>
  <c r="F33" i="11"/>
  <c r="F34" i="11"/>
  <c r="F35" i="11"/>
  <c r="F36" i="11"/>
  <c r="F37" i="11"/>
  <c r="F38" i="11"/>
  <c r="F40" i="11"/>
  <c r="F41" i="11"/>
  <c r="F43" i="11"/>
  <c r="F42" i="11" s="1"/>
  <c r="F45" i="11"/>
  <c r="F46" i="11"/>
  <c r="F47" i="11"/>
  <c r="F48" i="11"/>
  <c r="F49" i="11"/>
  <c r="F50" i="11"/>
  <c r="F53" i="11"/>
  <c r="F54" i="11"/>
  <c r="F57" i="11"/>
  <c r="F56" i="11" s="1"/>
  <c r="F55" i="11" s="1"/>
  <c r="F75" i="11"/>
  <c r="F83" i="11"/>
  <c r="F84" i="11"/>
  <c r="F85" i="11"/>
  <c r="F86" i="11"/>
  <c r="F87" i="11"/>
  <c r="K12" i="11"/>
  <c r="K15" i="11"/>
  <c r="K16" i="11"/>
  <c r="K17" i="11"/>
  <c r="K19" i="11"/>
  <c r="K23" i="11"/>
  <c r="K24" i="11"/>
  <c r="K25" i="11"/>
  <c r="K26" i="11"/>
  <c r="K27" i="11"/>
  <c r="K32" i="11"/>
  <c r="K33" i="11"/>
  <c r="K34" i="11"/>
  <c r="K35" i="11"/>
  <c r="K36" i="11"/>
  <c r="K37" i="11"/>
  <c r="K38" i="11"/>
  <c r="K40" i="11"/>
  <c r="K41" i="11"/>
  <c r="K43" i="11"/>
  <c r="K42" i="11" s="1"/>
  <c r="K45" i="11"/>
  <c r="K46" i="11"/>
  <c r="K47" i="11"/>
  <c r="K48" i="11"/>
  <c r="K49" i="11"/>
  <c r="K50" i="11"/>
  <c r="K53" i="11"/>
  <c r="K54" i="11"/>
  <c r="K57" i="11"/>
  <c r="K56" i="11" s="1"/>
  <c r="K55" i="11" s="1"/>
  <c r="K75" i="11"/>
  <c r="K83" i="11"/>
  <c r="K84" i="11"/>
  <c r="K85" i="11"/>
  <c r="K86" i="11"/>
  <c r="K87" i="11"/>
  <c r="C63" i="11"/>
  <c r="C64" i="11"/>
  <c r="E64" i="11"/>
  <c r="F64" i="11"/>
  <c r="C65" i="11"/>
  <c r="E65" i="11"/>
  <c r="F65" i="11"/>
  <c r="C67" i="11"/>
  <c r="E67" i="11"/>
  <c r="F67" i="11"/>
  <c r="C78" i="11"/>
  <c r="C77" i="11" s="1"/>
  <c r="E78" i="11"/>
  <c r="E77" i="11" s="1"/>
  <c r="F78" i="11"/>
  <c r="F77" i="11" s="1"/>
  <c r="I78" i="11"/>
  <c r="I77" i="11" s="1"/>
  <c r="J78" i="11"/>
  <c r="J77" i="11" s="1"/>
  <c r="K78" i="11"/>
  <c r="K77" i="11" s="1"/>
  <c r="A1" i="24"/>
  <c r="A1" i="12"/>
  <c r="C22" i="12"/>
  <c r="C10" i="12" s="1"/>
  <c r="C31" i="12"/>
  <c r="C42" i="12"/>
  <c r="C44" i="12"/>
  <c r="C56" i="12"/>
  <c r="C55" i="12" s="1"/>
  <c r="C59" i="12"/>
  <c r="C63" i="12"/>
  <c r="E22" i="12"/>
  <c r="E31" i="12"/>
  <c r="E42" i="12"/>
  <c r="E44" i="12"/>
  <c r="E56" i="12"/>
  <c r="E55" i="12" s="1"/>
  <c r="E59" i="12"/>
  <c r="E63" i="12"/>
  <c r="F22" i="12"/>
  <c r="F31" i="12"/>
  <c r="F42" i="12"/>
  <c r="F44" i="12"/>
  <c r="F56" i="12"/>
  <c r="F55" i="12" s="1"/>
  <c r="F59" i="12"/>
  <c r="F63" i="12"/>
  <c r="G22" i="12"/>
  <c r="G31" i="12"/>
  <c r="G42" i="12"/>
  <c r="G44" i="12"/>
  <c r="G56" i="12"/>
  <c r="G55" i="12" s="1"/>
  <c r="G59" i="12"/>
  <c r="G63" i="12"/>
  <c r="H22" i="12"/>
  <c r="H31" i="12"/>
  <c r="H42" i="12"/>
  <c r="H44" i="12"/>
  <c r="H56" i="12"/>
  <c r="H55" i="12" s="1"/>
  <c r="H59" i="12"/>
  <c r="H63" i="12"/>
  <c r="I11" i="12"/>
  <c r="I22" i="12"/>
  <c r="I31" i="12"/>
  <c r="I42" i="12"/>
  <c r="I44" i="12"/>
  <c r="I56" i="12"/>
  <c r="I55" i="12" s="1"/>
  <c r="I59" i="12"/>
  <c r="I63" i="12"/>
  <c r="J22" i="12"/>
  <c r="J31" i="12"/>
  <c r="J42" i="12"/>
  <c r="J44" i="12"/>
  <c r="J56" i="12"/>
  <c r="J55" i="12" s="1"/>
  <c r="J59" i="12"/>
  <c r="J63" i="12"/>
  <c r="K22" i="12"/>
  <c r="K31" i="12"/>
  <c r="K42" i="12"/>
  <c r="K44" i="12"/>
  <c r="K56" i="12"/>
  <c r="K55" i="12" s="1"/>
  <c r="K59" i="12"/>
  <c r="K63" i="12"/>
  <c r="C81" i="12"/>
  <c r="C80" i="12" s="1"/>
  <c r="C79" i="12" s="1"/>
  <c r="C78" i="12" s="1"/>
  <c r="E81" i="12"/>
  <c r="E80" i="12" s="1"/>
  <c r="E79" i="12" s="1"/>
  <c r="E78" i="12" s="1"/>
  <c r="F81" i="12"/>
  <c r="F80" i="12" s="1"/>
  <c r="F79" i="12" s="1"/>
  <c r="F78" i="12" s="1"/>
  <c r="J81" i="12"/>
  <c r="J80" i="12" s="1"/>
  <c r="J79" i="12" s="1"/>
  <c r="J78" i="12" s="1"/>
  <c r="K81" i="12"/>
  <c r="K80" i="12" s="1"/>
  <c r="K79" i="12" s="1"/>
  <c r="K78" i="12" s="1"/>
  <c r="E82" i="12"/>
  <c r="F82" i="12"/>
  <c r="I82" i="12"/>
  <c r="C41" i="45"/>
  <c r="C40" i="45" s="1"/>
  <c r="C44" i="45"/>
  <c r="C43" i="45" s="1"/>
  <c r="C55" i="45"/>
  <c r="C54" i="45" s="1"/>
  <c r="A1" i="36"/>
  <c r="C12" i="36"/>
  <c r="C13" i="36"/>
  <c r="D14" i="36"/>
  <c r="E14" i="36"/>
  <c r="F14" i="36"/>
  <c r="C16" i="36"/>
  <c r="C17" i="36"/>
  <c r="D18" i="36"/>
  <c r="E18" i="36"/>
  <c r="F18" i="36"/>
  <c r="C20" i="36"/>
  <c r="C21" i="36"/>
  <c r="D22" i="36"/>
  <c r="E22" i="36"/>
  <c r="F22" i="36"/>
  <c r="C24" i="36"/>
  <c r="A1" i="4"/>
  <c r="E12" i="4"/>
  <c r="E13" i="4"/>
  <c r="C16" i="4"/>
  <c r="C17" i="4"/>
  <c r="E18" i="4"/>
  <c r="C20" i="4"/>
  <c r="C21" i="4"/>
  <c r="E22" i="4"/>
  <c r="A1" i="43"/>
  <c r="C8" i="43"/>
  <c r="E8" i="43" s="1"/>
  <c r="A11" i="43"/>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B82" i="43"/>
  <c r="B89" i="43"/>
  <c r="A1" i="40"/>
  <c r="K70" i="40"/>
  <c r="O70" i="40" s="1"/>
  <c r="C91" i="11"/>
  <c r="C90" i="11" s="1"/>
  <c r="C89" i="11" s="1"/>
  <c r="C88" i="11" s="1"/>
  <c r="E91" i="11"/>
  <c r="E90" i="11" s="1"/>
  <c r="E89" i="11" s="1"/>
  <c r="E88" i="11" s="1"/>
  <c r="D188" i="37"/>
  <c r="D64" i="37"/>
  <c r="E305" i="40"/>
  <c r="F305" i="40"/>
  <c r="K305" i="40"/>
  <c r="A2" i="41"/>
  <c r="A1" i="35"/>
  <c r="E7" i="35"/>
  <c r="F7" i="35" s="1"/>
  <c r="G7" i="35" s="1"/>
  <c r="H7" i="35" s="1"/>
  <c r="C11" i="35"/>
  <c r="D11" i="35"/>
  <c r="E11" i="35"/>
  <c r="F11" i="35"/>
  <c r="G11" i="35"/>
  <c r="H11" i="35"/>
  <c r="C15" i="35"/>
  <c r="D15" i="35"/>
  <c r="E15" i="35"/>
  <c r="F15" i="35"/>
  <c r="G15" i="35"/>
  <c r="H15" i="35"/>
  <c r="C19" i="35"/>
  <c r="D19" i="35"/>
  <c r="E19" i="35"/>
  <c r="F19" i="35"/>
  <c r="G19" i="35"/>
  <c r="H19" i="35"/>
  <c r="C27" i="35"/>
  <c r="C28" i="35"/>
  <c r="C8" i="34"/>
  <c r="C18" i="34"/>
  <c r="H18" i="34" s="1"/>
  <c r="A1" i="30"/>
  <c r="I13" i="30"/>
  <c r="L53" i="58" s="1"/>
  <c r="I14" i="30"/>
  <c r="L56" i="58" s="1"/>
  <c r="I15" i="30"/>
  <c r="F17" i="30"/>
  <c r="E50" i="37"/>
  <c r="E52" i="37"/>
  <c r="C64" i="37"/>
  <c r="K130" i="40"/>
  <c r="O130" i="40" s="1"/>
  <c r="E276" i="37"/>
  <c r="K299" i="40" s="1"/>
  <c r="O299" i="40" s="1"/>
  <c r="E277" i="37"/>
  <c r="K300" i="40" s="1"/>
  <c r="O300" i="40" s="1"/>
  <c r="D10" i="46"/>
  <c r="D9" i="46" s="1"/>
  <c r="D16" i="46"/>
  <c r="L39" i="46"/>
  <c r="L83" i="46"/>
  <c r="M39" i="46"/>
  <c r="M83" i="46"/>
  <c r="G10" i="46"/>
  <c r="G9" i="46" s="1"/>
  <c r="G16" i="46"/>
  <c r="I10" i="46"/>
  <c r="J10" i="46"/>
  <c r="J9" i="46" s="1"/>
  <c r="I16" i="46"/>
  <c r="J16" i="46"/>
  <c r="H50" i="46"/>
  <c r="H51" i="46"/>
  <c r="H58" i="46"/>
  <c r="N58" i="46" s="1"/>
  <c r="N83" i="46"/>
  <c r="H86" i="46"/>
  <c r="H24" i="46"/>
  <c r="H28" i="46"/>
  <c r="N39" i="46"/>
  <c r="H64" i="46"/>
  <c r="H60" i="46" s="1"/>
  <c r="H96" i="46"/>
  <c r="B21" i="42"/>
  <c r="A1" i="33"/>
  <c r="E13" i="33"/>
  <c r="E14" i="33"/>
  <c r="E15" i="33"/>
  <c r="E16" i="33"/>
  <c r="E19" i="33"/>
  <c r="E20" i="33"/>
  <c r="E21" i="33"/>
  <c r="E22" i="33"/>
  <c r="E25" i="33"/>
  <c r="E34" i="33"/>
  <c r="E35" i="33"/>
  <c r="E41" i="33"/>
  <c r="E42" i="33"/>
  <c r="E43" i="33"/>
  <c r="E44" i="33"/>
  <c r="E45" i="33"/>
  <c r="E46" i="33"/>
  <c r="E47" i="33"/>
  <c r="E48" i="33"/>
  <c r="E49" i="33"/>
  <c r="E59" i="33"/>
  <c r="E61" i="33"/>
  <c r="E65" i="33"/>
  <c r="E66" i="33"/>
  <c r="E68" i="33"/>
  <c r="E72" i="33"/>
  <c r="E73" i="33"/>
  <c r="E74" i="33"/>
  <c r="E75" i="33"/>
  <c r="E76" i="33"/>
  <c r="E77" i="33"/>
  <c r="E78" i="33"/>
  <c r="E79" i="33"/>
  <c r="E80" i="33"/>
  <c r="E84" i="33"/>
  <c r="E85" i="33"/>
  <c r="E86" i="33"/>
  <c r="E87" i="33"/>
  <c r="E88" i="33"/>
  <c r="E89" i="33"/>
  <c r="E90" i="33"/>
  <c r="E91" i="33"/>
  <c r="E94" i="33"/>
  <c r="E95" i="33"/>
  <c r="E97" i="33"/>
  <c r="E98" i="33"/>
  <c r="D100" i="33"/>
  <c r="G30" i="14"/>
  <c r="D35" i="14"/>
  <c r="D45" i="28"/>
  <c r="C44" i="28"/>
  <c r="C89" i="40"/>
  <c r="R89" i="40" s="1"/>
  <c r="C16" i="46"/>
  <c r="E14" i="27"/>
  <c r="E14" i="28" s="1"/>
  <c r="F39" i="22"/>
  <c r="F25" i="40"/>
  <c r="D20" i="10"/>
  <c r="G26" i="1"/>
  <c r="D62" i="33"/>
  <c r="C103" i="46"/>
  <c r="C102" i="46"/>
  <c r="C10" i="46"/>
  <c r="C9" i="46" s="1"/>
  <c r="C17" i="34"/>
  <c r="H17" i="34" s="1"/>
  <c r="G34" i="22"/>
  <c r="G14" i="22"/>
  <c r="F14" i="22"/>
  <c r="E89" i="40"/>
  <c r="P89" i="40" s="1"/>
  <c r="H18" i="22"/>
  <c r="H14" i="22"/>
  <c r="G9" i="22"/>
  <c r="E61" i="60"/>
  <c r="D46" i="19" s="1"/>
  <c r="D49" i="19" s="1"/>
  <c r="E63" i="11"/>
  <c r="D61" i="60"/>
  <c r="F38" i="14"/>
  <c r="I31" i="18"/>
  <c r="K60" i="11"/>
  <c r="F58" i="9"/>
  <c r="I58" i="9"/>
  <c r="E63" i="33"/>
  <c r="G39" i="15"/>
  <c r="E9" i="22"/>
  <c r="H9" i="22" s="1"/>
  <c r="M25" i="40"/>
  <c r="I13" i="40"/>
  <c r="F23" i="10"/>
  <c r="D142" i="8"/>
  <c r="D139" i="8" s="1"/>
  <c r="D146" i="8" s="1"/>
  <c r="F22" i="3"/>
  <c r="F27" i="3" s="1"/>
  <c r="E95" i="28"/>
  <c r="I29" i="11"/>
  <c r="F16" i="10"/>
  <c r="E137" i="40"/>
  <c r="L16" i="10"/>
  <c r="I25" i="40"/>
  <c r="G101" i="46" l="1"/>
  <c r="J159" i="58"/>
  <c r="K159" i="58" s="1"/>
  <c r="F25" i="8"/>
  <c r="D92" i="33"/>
  <c r="I21" i="11"/>
  <c r="D53" i="1"/>
  <c r="H45" i="46"/>
  <c r="D101" i="46"/>
  <c r="D104" i="46" s="1"/>
  <c r="C13" i="4"/>
  <c r="F15" i="5"/>
  <c r="F88" i="83"/>
  <c r="G88" i="83" s="1"/>
  <c r="D88" i="82"/>
  <c r="E88" i="82" s="1"/>
  <c r="F64" i="83"/>
  <c r="G64" i="83" s="1"/>
  <c r="D64" i="82"/>
  <c r="E64" i="82" s="1"/>
  <c r="F96" i="83"/>
  <c r="G96" i="83" s="1"/>
  <c r="D96" i="82"/>
  <c r="E96" i="82" s="1"/>
  <c r="F271" i="83"/>
  <c r="G271" i="83" s="1"/>
  <c r="D271" i="82"/>
  <c r="E271" i="82" s="1"/>
  <c r="D188" i="82"/>
  <c r="E188" i="82" s="1"/>
  <c r="F188" i="83"/>
  <c r="G188" i="83" s="1"/>
  <c r="F22" i="69"/>
  <c r="F18" i="24"/>
  <c r="E18" i="24"/>
  <c r="P38" i="18"/>
  <c r="C101" i="46"/>
  <c r="C104" i="46" s="1"/>
  <c r="J101" i="46"/>
  <c r="J104" i="46" s="1"/>
  <c r="I21" i="18"/>
  <c r="Q21" i="18" s="1"/>
  <c r="C63" i="48"/>
  <c r="C28" i="49" s="1"/>
  <c r="C26" i="50" s="1"/>
  <c r="C25" i="51" s="1"/>
  <c r="D66" i="28"/>
  <c r="C46" i="28"/>
  <c r="H37" i="18"/>
  <c r="E44" i="28"/>
  <c r="D44" i="28"/>
  <c r="E251" i="37"/>
  <c r="H10" i="46"/>
  <c r="H9" i="46" s="1"/>
  <c r="I9" i="46"/>
  <c r="I101" i="46" s="1"/>
  <c r="I104" i="46" s="1"/>
  <c r="J28" i="16"/>
  <c r="K268" i="40"/>
  <c r="O268" i="40" s="1"/>
  <c r="F37" i="18"/>
  <c r="I28" i="18"/>
  <c r="R28" i="18" s="1"/>
  <c r="E60" i="28"/>
  <c r="D89" i="28"/>
  <c r="C60" i="28"/>
  <c r="C66" i="11"/>
  <c r="E59" i="9"/>
  <c r="O246" i="40"/>
  <c r="O278" i="40"/>
  <c r="O269" i="40"/>
  <c r="C20" i="11"/>
  <c r="R46" i="40"/>
  <c r="C17" i="40"/>
  <c r="C31" i="79" s="1"/>
  <c r="E14" i="30"/>
  <c r="L36" i="58" s="1"/>
  <c r="I39" i="15"/>
  <c r="J33" i="16"/>
  <c r="O33" i="16" s="1"/>
  <c r="G38" i="16"/>
  <c r="H31" i="14"/>
  <c r="J35" i="9"/>
  <c r="J37" i="9"/>
  <c r="E8" i="7"/>
  <c r="E64" i="7" s="1"/>
  <c r="G64" i="7"/>
  <c r="D83" i="37"/>
  <c r="L38" i="18"/>
  <c r="J27" i="16"/>
  <c r="E31" i="9"/>
  <c r="J35" i="16"/>
  <c r="O35" i="16" s="1"/>
  <c r="E13" i="30"/>
  <c r="L33" i="58" s="1"/>
  <c r="J31" i="16"/>
  <c r="S31" i="16" s="1"/>
  <c r="G14" i="14"/>
  <c r="P122" i="40"/>
  <c r="E72" i="9"/>
  <c r="C48" i="28"/>
  <c r="F26" i="15"/>
  <c r="F35" i="14"/>
  <c r="I30" i="12"/>
  <c r="C30" i="12"/>
  <c r="D14" i="4"/>
  <c r="D23" i="4" s="1"/>
  <c r="G37" i="18"/>
  <c r="E76" i="28"/>
  <c r="E73" i="28" s="1"/>
  <c r="E46" i="28"/>
  <c r="D95" i="28"/>
  <c r="D36" i="28"/>
  <c r="F36" i="28" s="1"/>
  <c r="C89" i="28"/>
  <c r="C76" i="28"/>
  <c r="C73" i="28" s="1"/>
  <c r="C54" i="28"/>
  <c r="C47" i="28"/>
  <c r="C43" i="28"/>
  <c r="D57" i="33"/>
  <c r="D56" i="33" s="1"/>
  <c r="D10" i="33" s="1"/>
  <c r="D9" i="33" s="1"/>
  <c r="E88" i="37"/>
  <c r="C39" i="14"/>
  <c r="S27" i="16"/>
  <c r="G19" i="17"/>
  <c r="E38" i="16"/>
  <c r="D83" i="28"/>
  <c r="D48" i="28"/>
  <c r="F48" i="28" s="1"/>
  <c r="E93" i="33"/>
  <c r="I285" i="40"/>
  <c r="S243" i="40"/>
  <c r="S210" i="40"/>
  <c r="S204" i="40"/>
  <c r="S185" i="40"/>
  <c r="S299" i="40"/>
  <c r="S291" i="40"/>
  <c r="S261" i="40"/>
  <c r="S242" i="40"/>
  <c r="S209" i="40"/>
  <c r="S201" i="40"/>
  <c r="S181" i="40"/>
  <c r="S278" i="40"/>
  <c r="S290" i="40"/>
  <c r="S229" i="40"/>
  <c r="S215" i="40"/>
  <c r="S158" i="40"/>
  <c r="S256" i="40"/>
  <c r="S286" i="40"/>
  <c r="S205" i="40"/>
  <c r="E16" i="55"/>
  <c r="E15" i="55" s="1"/>
  <c r="M297" i="40"/>
  <c r="M296" i="40" s="1"/>
  <c r="M295" i="40" s="1"/>
  <c r="Q28" i="18"/>
  <c r="M293" i="40"/>
  <c r="L31" i="10" s="1"/>
  <c r="D43" i="28"/>
  <c r="C24" i="4"/>
  <c r="C28" i="4" s="1"/>
  <c r="I29" i="18"/>
  <c r="I25" i="18"/>
  <c r="F37" i="17"/>
  <c r="J34" i="16"/>
  <c r="S34" i="16" s="1"/>
  <c r="J26" i="16"/>
  <c r="S26" i="16" s="1"/>
  <c r="N38" i="18"/>
  <c r="G28" i="14"/>
  <c r="G29" i="14"/>
  <c r="I24" i="18"/>
  <c r="E64" i="9"/>
  <c r="H64" i="9"/>
  <c r="H63" i="9" s="1"/>
  <c r="J65" i="9"/>
  <c r="J36" i="9"/>
  <c r="F58" i="12"/>
  <c r="H20" i="9"/>
  <c r="E83" i="33"/>
  <c r="E188" i="37"/>
  <c r="K285" i="40"/>
  <c r="O285" i="40" s="1"/>
  <c r="P274" i="40"/>
  <c r="J285" i="40"/>
  <c r="R285" i="40" s="1"/>
  <c r="C293" i="40"/>
  <c r="C10" i="45"/>
  <c r="N96" i="46"/>
  <c r="H91" i="46"/>
  <c r="N91" i="46" s="1"/>
  <c r="D16" i="27"/>
  <c r="D16" i="28" s="1"/>
  <c r="D29" i="28"/>
  <c r="D12" i="27"/>
  <c r="D12" i="28" s="1"/>
  <c r="D25" i="28"/>
  <c r="F11" i="55"/>
  <c r="F10" i="55"/>
  <c r="I18" i="18"/>
  <c r="C16" i="27"/>
  <c r="C16" i="28" s="1"/>
  <c r="C29" i="28"/>
  <c r="C12" i="27"/>
  <c r="C12" i="28" s="1"/>
  <c r="C25" i="28"/>
  <c r="G22" i="3"/>
  <c r="G27" i="3" s="1"/>
  <c r="C22" i="36"/>
  <c r="E15" i="27"/>
  <c r="E15" i="28" s="1"/>
  <c r="E28" i="28"/>
  <c r="I11" i="55"/>
  <c r="I10" i="55"/>
  <c r="D15" i="27"/>
  <c r="D15" i="28" s="1"/>
  <c r="D28" i="28"/>
  <c r="I10" i="12"/>
  <c r="C15" i="27"/>
  <c r="C15" i="28" s="1"/>
  <c r="C28" i="28"/>
  <c r="R21" i="18"/>
  <c r="N18" i="46"/>
  <c r="H17" i="46"/>
  <c r="I26" i="18"/>
  <c r="I37" i="17"/>
  <c r="Q38" i="16"/>
  <c r="J32" i="16"/>
  <c r="S32" i="16" s="1"/>
  <c r="D14" i="27"/>
  <c r="D14" i="28" s="1"/>
  <c r="D27" i="28"/>
  <c r="C14" i="27"/>
  <c r="C14" i="28" s="1"/>
  <c r="C27" i="28"/>
  <c r="E14" i="4"/>
  <c r="E23" i="4" s="1"/>
  <c r="E27" i="4" s="1"/>
  <c r="D13" i="27"/>
  <c r="D13" i="28" s="1"/>
  <c r="D26" i="28"/>
  <c r="F30" i="27"/>
  <c r="D30" i="28"/>
  <c r="C13" i="27"/>
  <c r="C13" i="28" s="1"/>
  <c r="C26" i="28"/>
  <c r="N50" i="46"/>
  <c r="G180" i="40"/>
  <c r="P180" i="40" s="1"/>
  <c r="G104" i="46"/>
  <c r="C25" i="40"/>
  <c r="E60" i="37"/>
  <c r="E64" i="37"/>
  <c r="E218" i="37"/>
  <c r="E101" i="37"/>
  <c r="E25" i="37"/>
  <c r="E21" i="41"/>
  <c r="E96" i="37"/>
  <c r="K46" i="40"/>
  <c r="O46" i="40" s="1"/>
  <c r="E23" i="37"/>
  <c r="D274" i="37"/>
  <c r="I241" i="40"/>
  <c r="G241" i="40"/>
  <c r="K241" i="40"/>
  <c r="O241" i="40" s="1"/>
  <c r="J241" i="40"/>
  <c r="R241" i="40" s="1"/>
  <c r="R274" i="40"/>
  <c r="I259" i="40"/>
  <c r="K259" i="40"/>
  <c r="O259" i="40" s="1"/>
  <c r="I85" i="11"/>
  <c r="I111" i="40"/>
  <c r="K180" i="40"/>
  <c r="O180" i="40" s="1"/>
  <c r="J180" i="40"/>
  <c r="R180" i="40" s="1"/>
  <c r="I153" i="40"/>
  <c r="I12" i="11"/>
  <c r="I26" i="11"/>
  <c r="I86" i="11"/>
  <c r="K138" i="40"/>
  <c r="O138" i="40" s="1"/>
  <c r="J138" i="40"/>
  <c r="R138" i="40" s="1"/>
  <c r="I138" i="40"/>
  <c r="S109" i="40"/>
  <c r="S79" i="40"/>
  <c r="S50" i="40"/>
  <c r="I48" i="11"/>
  <c r="S108" i="40"/>
  <c r="S127" i="40"/>
  <c r="S84" i="40"/>
  <c r="S78" i="40"/>
  <c r="S74" i="40"/>
  <c r="S62" i="40"/>
  <c r="S53" i="40"/>
  <c r="S49" i="40"/>
  <c r="S40" i="40"/>
  <c r="J87" i="40"/>
  <c r="R87" i="40" s="1"/>
  <c r="S128" i="40"/>
  <c r="S72" i="40"/>
  <c r="S59" i="40"/>
  <c r="S54" i="40"/>
  <c r="I41" i="11"/>
  <c r="H129" i="40"/>
  <c r="J73" i="40"/>
  <c r="R73" i="40" s="1"/>
  <c r="S120" i="40"/>
  <c r="S88" i="40"/>
  <c r="S126" i="40"/>
  <c r="S81" i="40"/>
  <c r="S77" i="40"/>
  <c r="S69" i="40"/>
  <c r="S65" i="40"/>
  <c r="S61" i="40"/>
  <c r="S52" i="40"/>
  <c r="S44" i="40"/>
  <c r="S37" i="40"/>
  <c r="C86" i="40"/>
  <c r="S45" i="40"/>
  <c r="J298" i="40"/>
  <c r="R298" i="40" s="1"/>
  <c r="S47" i="40"/>
  <c r="S114" i="40"/>
  <c r="S113" i="40"/>
  <c r="S70" i="40"/>
  <c r="S85" i="40"/>
  <c r="S63" i="40"/>
  <c r="S41" i="40"/>
  <c r="S71" i="40"/>
  <c r="S38" i="40"/>
  <c r="S121" i="40"/>
  <c r="S130" i="40"/>
  <c r="I19" i="11"/>
  <c r="S112" i="40"/>
  <c r="S129" i="40"/>
  <c r="S125" i="40"/>
  <c r="S80" i="40"/>
  <c r="S76" i="40"/>
  <c r="S68" i="40"/>
  <c r="S64" i="40"/>
  <c r="S60" i="40"/>
  <c r="S51" i="40"/>
  <c r="S42" i="40"/>
  <c r="C167" i="37"/>
  <c r="E16" i="20" s="1"/>
  <c r="D167" i="37"/>
  <c r="E12" i="37"/>
  <c r="I40" i="11"/>
  <c r="I21" i="3"/>
  <c r="K228" i="40"/>
  <c r="Q89" i="40"/>
  <c r="E28" i="40"/>
  <c r="J22" i="9"/>
  <c r="C226" i="40"/>
  <c r="C22" i="22"/>
  <c r="F22" i="22" s="1"/>
  <c r="D13" i="23"/>
  <c r="C56" i="22"/>
  <c r="F56" i="22" s="1"/>
  <c r="D12" i="23"/>
  <c r="J36" i="40"/>
  <c r="R36" i="40" s="1"/>
  <c r="E262" i="37"/>
  <c r="F13" i="23"/>
  <c r="E33" i="19" s="1"/>
  <c r="E36" i="19" s="1"/>
  <c r="E16" i="30"/>
  <c r="J16" i="30" s="1"/>
  <c r="N37" i="16"/>
  <c r="H17" i="30"/>
  <c r="M38" i="16"/>
  <c r="H18" i="30" s="1"/>
  <c r="L38" i="16"/>
  <c r="G18" i="30" s="1"/>
  <c r="C22" i="16"/>
  <c r="F37" i="14"/>
  <c r="G10" i="55"/>
  <c r="J67" i="9"/>
  <c r="E13" i="23"/>
  <c r="E16" i="23" s="1"/>
  <c r="E19" i="23" s="1"/>
  <c r="J161" i="58"/>
  <c r="K161" i="58" s="1"/>
  <c r="E36" i="2"/>
  <c r="B9" i="32"/>
  <c r="P38" i="16"/>
  <c r="C29" i="48"/>
  <c r="I17" i="11"/>
  <c r="I25" i="11"/>
  <c r="J18" i="10"/>
  <c r="K18" i="10" s="1"/>
  <c r="I47" i="11"/>
  <c r="I53" i="11"/>
  <c r="H45" i="40"/>
  <c r="Q45" i="40" s="1"/>
  <c r="H59" i="40"/>
  <c r="J38" i="9"/>
  <c r="H161" i="58"/>
  <c r="I161" i="58" s="1"/>
  <c r="E96" i="33"/>
  <c r="J80" i="9"/>
  <c r="F74" i="11"/>
  <c r="I33" i="11"/>
  <c r="I37" i="11"/>
  <c r="J16" i="9"/>
  <c r="E37" i="2"/>
  <c r="E10" i="2"/>
  <c r="H71" i="40"/>
  <c r="Q71" i="40" s="1"/>
  <c r="I67" i="11"/>
  <c r="O112" i="40"/>
  <c r="I49" i="11"/>
  <c r="O80" i="40"/>
  <c r="I15" i="11"/>
  <c r="O40" i="40"/>
  <c r="G32" i="10"/>
  <c r="F62" i="11"/>
  <c r="K249" i="40"/>
  <c r="J119" i="40"/>
  <c r="R119" i="40" s="1"/>
  <c r="I23" i="11"/>
  <c r="J14" i="9"/>
  <c r="G71" i="9"/>
  <c r="G70" i="9" s="1"/>
  <c r="D58" i="9"/>
  <c r="G63" i="9"/>
  <c r="E63" i="9" s="1"/>
  <c r="H34" i="9"/>
  <c r="H33" i="9" s="1"/>
  <c r="J26" i="58"/>
  <c r="K26" i="58" s="1"/>
  <c r="M30" i="40"/>
  <c r="M19" i="40" s="1"/>
  <c r="M18" i="40" s="1"/>
  <c r="H242" i="40"/>
  <c r="T242" i="40" s="1"/>
  <c r="I57" i="9"/>
  <c r="J60" i="9"/>
  <c r="J59" i="9" s="1"/>
  <c r="J21" i="9"/>
  <c r="D71" i="9"/>
  <c r="D70" i="9" s="1"/>
  <c r="H70" i="40"/>
  <c r="Q70" i="40" s="1"/>
  <c r="E13" i="9"/>
  <c r="D81" i="1"/>
  <c r="D23" i="2"/>
  <c r="C58" i="9"/>
  <c r="H61" i="40"/>
  <c r="H65" i="40"/>
  <c r="E86" i="40"/>
  <c r="E123" i="40"/>
  <c r="F9" i="22"/>
  <c r="G22" i="10"/>
  <c r="G22" i="22"/>
  <c r="F24" i="10"/>
  <c r="F27" i="10"/>
  <c r="E297" i="40"/>
  <c r="E69" i="12" s="1"/>
  <c r="E68" i="12" s="1"/>
  <c r="E67" i="12" s="1"/>
  <c r="H215" i="40"/>
  <c r="T215" i="40" s="1"/>
  <c r="I22" i="18"/>
  <c r="R22" i="18" s="1"/>
  <c r="S35" i="16"/>
  <c r="N22" i="16"/>
  <c r="C25" i="16"/>
  <c r="F38" i="16"/>
  <c r="H29" i="14"/>
  <c r="F32" i="14"/>
  <c r="F39" i="14" s="1"/>
  <c r="F33" i="14"/>
  <c r="F34" i="14" s="1"/>
  <c r="D24" i="2"/>
  <c r="E22" i="22"/>
  <c r="H22" i="22" s="1"/>
  <c r="C63" i="37"/>
  <c r="C12" i="4"/>
  <c r="C14" i="4" s="1"/>
  <c r="C100" i="33"/>
  <c r="J87" i="9"/>
  <c r="J44" i="9"/>
  <c r="E25" i="54"/>
  <c r="G16" i="10"/>
  <c r="H113" i="40"/>
  <c r="I83" i="11"/>
  <c r="C52" i="11"/>
  <c r="K111" i="40"/>
  <c r="I87" i="11"/>
  <c r="I27" i="11"/>
  <c r="H127" i="40"/>
  <c r="F28" i="40"/>
  <c r="F17" i="40" s="1"/>
  <c r="F20" i="11"/>
  <c r="E267" i="40"/>
  <c r="E66" i="11"/>
  <c r="M91" i="46"/>
  <c r="L91" i="46"/>
  <c r="G24" i="10"/>
  <c r="F28" i="10"/>
  <c r="D28" i="10"/>
  <c r="C13" i="40"/>
  <c r="C59" i="48" s="1"/>
  <c r="J29" i="9"/>
  <c r="D63" i="9"/>
  <c r="G73" i="40"/>
  <c r="P73" i="40" s="1"/>
  <c r="G111" i="40"/>
  <c r="G66" i="11" s="1"/>
  <c r="H291" i="40"/>
  <c r="O126" i="40"/>
  <c r="O88" i="40"/>
  <c r="K87" i="40"/>
  <c r="O87" i="40" s="1"/>
  <c r="H97" i="9"/>
  <c r="J97" i="9" s="1"/>
  <c r="E60" i="33"/>
  <c r="E32" i="33"/>
  <c r="H94" i="9"/>
  <c r="J94" i="9" s="1"/>
  <c r="E67" i="33"/>
  <c r="J88" i="9"/>
  <c r="J82" i="9"/>
  <c r="J78" i="9"/>
  <c r="J74" i="9"/>
  <c r="J66" i="9"/>
  <c r="J49" i="9"/>
  <c r="J46" i="9"/>
  <c r="J48" i="9"/>
  <c r="J45" i="9"/>
  <c r="E12" i="2"/>
  <c r="H76" i="58"/>
  <c r="I76" i="58" s="1"/>
  <c r="E25" i="40"/>
  <c r="B63" i="48"/>
  <c r="B28" i="49" s="1"/>
  <c r="H63" i="40"/>
  <c r="H300" i="40"/>
  <c r="H109" i="40"/>
  <c r="H128" i="40"/>
  <c r="H126" i="40"/>
  <c r="H79" i="40"/>
  <c r="H77" i="40"/>
  <c r="I107" i="40"/>
  <c r="K107" i="40"/>
  <c r="O107" i="40" s="1"/>
  <c r="J107" i="40"/>
  <c r="R107" i="40" s="1"/>
  <c r="F35" i="40"/>
  <c r="E35" i="40"/>
  <c r="J83" i="40"/>
  <c r="R83" i="40" s="1"/>
  <c r="F14" i="5"/>
  <c r="C14" i="36"/>
  <c r="H28" i="9"/>
  <c r="E74" i="11"/>
  <c r="C59" i="11"/>
  <c r="C58" i="11" s="1"/>
  <c r="K44" i="11"/>
  <c r="E59" i="11"/>
  <c r="E58" i="11" s="1"/>
  <c r="F59" i="11"/>
  <c r="F58" i="11" s="1"/>
  <c r="M226" i="40"/>
  <c r="L19" i="10" s="1"/>
  <c r="K59" i="11"/>
  <c r="K58" i="11" s="1"/>
  <c r="H249" i="40"/>
  <c r="H60" i="40"/>
  <c r="G119" i="40"/>
  <c r="P119" i="40" s="1"/>
  <c r="G107" i="40"/>
  <c r="G75" i="40"/>
  <c r="P75" i="40" s="1"/>
  <c r="J26" i="9"/>
  <c r="J24" i="9"/>
  <c r="E18" i="41"/>
  <c r="I43" i="11"/>
  <c r="I42" i="11" s="1"/>
  <c r="K73" i="40"/>
  <c r="O73" i="40" s="1"/>
  <c r="C70" i="33"/>
  <c r="E70" i="33" s="1"/>
  <c r="C62" i="33"/>
  <c r="E62" i="33" s="1"/>
  <c r="E27" i="33"/>
  <c r="J25" i="9"/>
  <c r="G24" i="1"/>
  <c r="F66" i="11"/>
  <c r="F44" i="11"/>
  <c r="D31" i="10"/>
  <c r="F13" i="40"/>
  <c r="C18" i="9"/>
  <c r="J25" i="40"/>
  <c r="J13" i="40"/>
  <c r="E47" i="28"/>
  <c r="C66" i="37"/>
  <c r="E66" i="37" s="1"/>
  <c r="I16" i="11"/>
  <c r="I46" i="11"/>
  <c r="I24" i="11"/>
  <c r="I84" i="11"/>
  <c r="I36" i="11"/>
  <c r="I50" i="11"/>
  <c r="H243" i="40"/>
  <c r="T243" i="40" s="1"/>
  <c r="K124" i="40"/>
  <c r="O124" i="40" s="1"/>
  <c r="I32" i="11"/>
  <c r="I57" i="11"/>
  <c r="I56" i="11" s="1"/>
  <c r="I55" i="11" s="1"/>
  <c r="G48" i="40"/>
  <c r="P48" i="40" s="1"/>
  <c r="G83" i="40"/>
  <c r="P83" i="40" s="1"/>
  <c r="H209" i="40"/>
  <c r="T209" i="40" s="1"/>
  <c r="H120" i="40"/>
  <c r="H52" i="40"/>
  <c r="H50" i="40"/>
  <c r="H228" i="40"/>
  <c r="H88" i="40"/>
  <c r="J111" i="40"/>
  <c r="H85" i="40"/>
  <c r="I297" i="40"/>
  <c r="I296" i="40" s="1"/>
  <c r="I295" i="40" s="1"/>
  <c r="H286" i="40"/>
  <c r="T286" i="40" s="1"/>
  <c r="T158" i="40"/>
  <c r="F22" i="11"/>
  <c r="F293" i="40"/>
  <c r="E44" i="11"/>
  <c r="F297" i="40"/>
  <c r="C46" i="19"/>
  <c r="C49" i="19" s="1"/>
  <c r="D32" i="10"/>
  <c r="F32" i="10"/>
  <c r="F20" i="10"/>
  <c r="E226" i="40"/>
  <c r="C297" i="40"/>
  <c r="J29" i="10"/>
  <c r="I38" i="11"/>
  <c r="I34" i="11"/>
  <c r="H72" i="9"/>
  <c r="J51" i="9"/>
  <c r="J131" i="58"/>
  <c r="K131" i="58" s="1"/>
  <c r="B10" i="46"/>
  <c r="B9" i="46" s="1"/>
  <c r="K91" i="46"/>
  <c r="K52" i="11"/>
  <c r="G87" i="40"/>
  <c r="P87" i="40" s="1"/>
  <c r="E26" i="2"/>
  <c r="G51" i="8"/>
  <c r="J43" i="9"/>
  <c r="J17" i="9"/>
  <c r="J85" i="9"/>
  <c r="J79" i="9"/>
  <c r="J75" i="9"/>
  <c r="J81" i="9"/>
  <c r="J77" i="9"/>
  <c r="J73" i="9"/>
  <c r="J62" i="9"/>
  <c r="J61" i="9" s="1"/>
  <c r="J50" i="9"/>
  <c r="J47" i="9"/>
  <c r="E33" i="33"/>
  <c r="J23" i="9"/>
  <c r="E271" i="37"/>
  <c r="J25" i="10"/>
  <c r="K25" i="10" s="1"/>
  <c r="H246" i="40"/>
  <c r="K211" i="40"/>
  <c r="O211" i="40" s="1"/>
  <c r="J17" i="10"/>
  <c r="K17" i="10" s="1"/>
  <c r="H204" i="40"/>
  <c r="T204" i="40" s="1"/>
  <c r="H130" i="40"/>
  <c r="K83" i="40"/>
  <c r="O83" i="40" s="1"/>
  <c r="I45" i="11"/>
  <c r="I35" i="11"/>
  <c r="I28" i="11"/>
  <c r="K48" i="40"/>
  <c r="O48" i="40" s="1"/>
  <c r="C267" i="40"/>
  <c r="D24" i="10"/>
  <c r="F13" i="10"/>
  <c r="D64" i="60"/>
  <c r="D67" i="60" s="1"/>
  <c r="E17" i="40"/>
  <c r="C32" i="79" s="1"/>
  <c r="C74" i="11"/>
  <c r="C82" i="11"/>
  <c r="C81" i="11" s="1"/>
  <c r="C80" i="11" s="1"/>
  <c r="C44" i="11"/>
  <c r="C22" i="11"/>
  <c r="C35" i="40"/>
  <c r="E11" i="11"/>
  <c r="C11" i="11"/>
  <c r="E103" i="9"/>
  <c r="J103" i="9" s="1"/>
  <c r="I71" i="9"/>
  <c r="I70" i="9" s="1"/>
  <c r="I19" i="9"/>
  <c r="I18" i="9" s="1"/>
  <c r="D11" i="55"/>
  <c r="C11" i="55"/>
  <c r="D54" i="1"/>
  <c r="D82" i="1" s="1"/>
  <c r="D90" i="1" s="1"/>
  <c r="E39" i="15"/>
  <c r="C71" i="9"/>
  <c r="C70" i="9" s="1"/>
  <c r="M35" i="40"/>
  <c r="M29" i="40"/>
  <c r="H51" i="40"/>
  <c r="H49" i="40"/>
  <c r="H42" i="40"/>
  <c r="M13" i="40"/>
  <c r="F226" i="40"/>
  <c r="B60" i="46"/>
  <c r="I93" i="11"/>
  <c r="I92" i="11" s="1"/>
  <c r="K74" i="11"/>
  <c r="H80" i="40"/>
  <c r="H299" i="40"/>
  <c r="I60" i="11"/>
  <c r="H159" i="58"/>
  <c r="I159" i="58" s="1"/>
  <c r="I58" i="12"/>
  <c r="H58" i="12"/>
  <c r="D23" i="36"/>
  <c r="D220" i="8"/>
  <c r="F220" i="8" s="1"/>
  <c r="J21" i="16"/>
  <c r="N92" i="46"/>
  <c r="C18" i="36"/>
  <c r="H39" i="15"/>
  <c r="J20" i="16"/>
  <c r="C92" i="33"/>
  <c r="H93" i="9" s="1"/>
  <c r="H40" i="40"/>
  <c r="U35" i="16"/>
  <c r="U33" i="16"/>
  <c r="F23" i="15"/>
  <c r="L51" i="58"/>
  <c r="M137" i="40"/>
  <c r="L15" i="10"/>
  <c r="H125" i="40"/>
  <c r="H76" i="40"/>
  <c r="H74" i="40"/>
  <c r="G124" i="40"/>
  <c r="P124" i="40" s="1"/>
  <c r="H84" i="9"/>
  <c r="J90" i="9"/>
  <c r="J86" i="9"/>
  <c r="C29" i="3"/>
  <c r="I83" i="40"/>
  <c r="L92" i="46"/>
  <c r="M92" i="46"/>
  <c r="I293" i="40"/>
  <c r="I292" i="40" s="1"/>
  <c r="I26" i="40" s="1"/>
  <c r="I211" i="40"/>
  <c r="I190" i="40" s="1"/>
  <c r="I124" i="40"/>
  <c r="I123" i="40" s="1"/>
  <c r="I73" i="40"/>
  <c r="H112" i="40"/>
  <c r="H84" i="40"/>
  <c r="T201" i="40"/>
  <c r="I75" i="40"/>
  <c r="E18" i="2"/>
  <c r="E16" i="2"/>
  <c r="E162" i="58"/>
  <c r="H131" i="58"/>
  <c r="I131" i="58" s="1"/>
  <c r="I36" i="40"/>
  <c r="I65" i="11"/>
  <c r="I64" i="11"/>
  <c r="I69" i="11"/>
  <c r="I68" i="11"/>
  <c r="J89" i="9"/>
  <c r="J69" i="9"/>
  <c r="J68" i="9" s="1"/>
  <c r="J32" i="9"/>
  <c r="J31" i="9" s="1"/>
  <c r="H229" i="40"/>
  <c r="T229" i="40" s="1"/>
  <c r="T219" i="40"/>
  <c r="J211" i="40"/>
  <c r="R211" i="40" s="1"/>
  <c r="H139" i="40"/>
  <c r="T139" i="40" s="1"/>
  <c r="J67" i="58"/>
  <c r="K67" i="58" s="1"/>
  <c r="F162" i="58"/>
  <c r="G36" i="40"/>
  <c r="P36" i="40" s="1"/>
  <c r="K36" i="40"/>
  <c r="B38" i="32"/>
  <c r="B8" i="32"/>
  <c r="E293" i="40"/>
  <c r="E13" i="40"/>
  <c r="C60" i="48" s="1"/>
  <c r="D27" i="10"/>
  <c r="F52" i="22"/>
  <c r="D23" i="10"/>
  <c r="F22" i="10"/>
  <c r="C21" i="51"/>
  <c r="C18" i="51" s="1"/>
  <c r="C15" i="51" s="1"/>
  <c r="C10" i="51" s="1"/>
  <c r="D14" i="10"/>
  <c r="E20" i="11"/>
  <c r="L61" i="40"/>
  <c r="U61" i="40" s="1"/>
  <c r="F208" i="8"/>
  <c r="F18" i="30"/>
  <c r="F19" i="30" s="1"/>
  <c r="C76" i="70"/>
  <c r="C73" i="70" s="1"/>
  <c r="C70" i="70" s="1"/>
  <c r="D76" i="70"/>
  <c r="D73" i="70" s="1"/>
  <c r="D70" i="70" s="1"/>
  <c r="D60" i="60"/>
  <c r="C75" i="70"/>
  <c r="C72" i="70" s="1"/>
  <c r="C69" i="70" s="1"/>
  <c r="H69" i="40"/>
  <c r="H72" i="40"/>
  <c r="F61" i="60"/>
  <c r="E21" i="70"/>
  <c r="H21" i="70" s="1"/>
  <c r="E76" i="70"/>
  <c r="E73" i="70" s="1"/>
  <c r="E70" i="70" s="1"/>
  <c r="Q13" i="3"/>
  <c r="Q22" i="3" s="1"/>
  <c r="Q27" i="3" s="1"/>
  <c r="I294" i="40"/>
  <c r="F137" i="40"/>
  <c r="C18" i="33"/>
  <c r="C17" i="33" s="1"/>
  <c r="E17" i="33" s="1"/>
  <c r="I34" i="18"/>
  <c r="I38" i="16"/>
  <c r="C37" i="16"/>
  <c r="C38" i="16" s="1"/>
  <c r="B102" i="46"/>
  <c r="I76" i="11"/>
  <c r="I74" i="11" s="1"/>
  <c r="F86" i="40"/>
  <c r="F123" i="40"/>
  <c r="C123" i="40"/>
  <c r="K119" i="40"/>
  <c r="O120" i="40"/>
  <c r="J21" i="10"/>
  <c r="K21" i="10" s="1"/>
  <c r="I13" i="11"/>
  <c r="J14" i="30"/>
  <c r="J52" i="9"/>
  <c r="J53" i="9"/>
  <c r="C10" i="5"/>
  <c r="C40" i="5" s="1"/>
  <c r="H64" i="40"/>
  <c r="H62" i="40"/>
  <c r="Q68" i="40"/>
  <c r="K92" i="46"/>
  <c r="K83" i="46"/>
  <c r="K39" i="46"/>
  <c r="K18" i="46"/>
  <c r="K69" i="12"/>
  <c r="K68" i="12" s="1"/>
  <c r="K67" i="12" s="1"/>
  <c r="D10" i="5"/>
  <c r="D40" i="5" s="1"/>
  <c r="E64" i="60"/>
  <c r="E67" i="60" s="1"/>
  <c r="D19" i="9"/>
  <c r="D18" i="9" s="1"/>
  <c r="G20" i="35"/>
  <c r="D73" i="8"/>
  <c r="D19" i="8"/>
  <c r="F15" i="8"/>
  <c r="E11" i="33"/>
  <c r="G10" i="12"/>
  <c r="E30" i="12"/>
  <c r="H54" i="40"/>
  <c r="H30" i="12"/>
  <c r="E58" i="12"/>
  <c r="S19" i="16"/>
  <c r="K10" i="12"/>
  <c r="J10" i="12"/>
  <c r="H10" i="12"/>
  <c r="D36" i="8"/>
  <c r="F35" i="8"/>
  <c r="E58" i="33"/>
  <c r="J75" i="40"/>
  <c r="R75" i="40" s="1"/>
  <c r="E16" i="41"/>
  <c r="M267" i="40"/>
  <c r="M12" i="40"/>
  <c r="M24" i="40"/>
  <c r="J83" i="9"/>
  <c r="E68" i="9"/>
  <c r="E28" i="9"/>
  <c r="J15" i="9"/>
  <c r="F23" i="36"/>
  <c r="F27" i="36" s="1"/>
  <c r="H53" i="40"/>
  <c r="H47" i="40"/>
  <c r="J33" i="10"/>
  <c r="K298" i="40"/>
  <c r="O298" i="40" s="1"/>
  <c r="J30" i="10"/>
  <c r="I54" i="11"/>
  <c r="H58" i="9"/>
  <c r="C57" i="33"/>
  <c r="J40" i="9"/>
  <c r="H13" i="9"/>
  <c r="H12" i="9" s="1"/>
  <c r="E12" i="33"/>
  <c r="I12" i="40"/>
  <c r="I24" i="40"/>
  <c r="H290" i="40"/>
  <c r="H256" i="40"/>
  <c r="T256" i="40" s="1"/>
  <c r="G298" i="40"/>
  <c r="H287" i="40"/>
  <c r="T287" i="40" s="1"/>
  <c r="K91" i="11"/>
  <c r="K90" i="11" s="1"/>
  <c r="K89" i="11" s="1"/>
  <c r="K88" i="11" s="1"/>
  <c r="F38" i="15"/>
  <c r="K39" i="15"/>
  <c r="K22" i="11"/>
  <c r="K11" i="11"/>
  <c r="H205" i="40"/>
  <c r="T205" i="40" s="1"/>
  <c r="D76" i="28"/>
  <c r="D73" i="28" s="1"/>
  <c r="J30" i="12"/>
  <c r="G58" i="12"/>
  <c r="G30" i="12"/>
  <c r="F10" i="12"/>
  <c r="D277" i="8"/>
  <c r="E42" i="27"/>
  <c r="E24" i="27" s="1"/>
  <c r="E24" i="28" s="1"/>
  <c r="J76" i="58"/>
  <c r="K76" i="58" s="1"/>
  <c r="H121" i="40"/>
  <c r="E20" i="35"/>
  <c r="E25" i="35" s="1"/>
  <c r="I15" i="40"/>
  <c r="C22" i="4"/>
  <c r="H210" i="40"/>
  <c r="T210" i="40" s="1"/>
  <c r="J24" i="16"/>
  <c r="O24" i="16" s="1"/>
  <c r="O22" i="3"/>
  <c r="O27" i="3" s="1"/>
  <c r="E71" i="33"/>
  <c r="H38" i="40"/>
  <c r="F20" i="35"/>
  <c r="F25" i="35" s="1"/>
  <c r="L155" i="58" s="1"/>
  <c r="F30" i="12"/>
  <c r="N22" i="3"/>
  <c r="N27" i="3" s="1"/>
  <c r="J22" i="3"/>
  <c r="J27" i="3" s="1"/>
  <c r="J17" i="55"/>
  <c r="C24" i="40"/>
  <c r="C12" i="40"/>
  <c r="C25" i="79" s="1"/>
  <c r="H81" i="40"/>
  <c r="J34" i="10"/>
  <c r="F103" i="46"/>
  <c r="M103" i="46" s="1"/>
  <c r="D20" i="35"/>
  <c r="D25" i="35" s="1"/>
  <c r="L143" i="58" s="1"/>
  <c r="C20" i="35"/>
  <c r="C25" i="35" s="1"/>
  <c r="K30" i="12"/>
  <c r="J58" i="12"/>
  <c r="E10" i="12"/>
  <c r="H78" i="40"/>
  <c r="C16" i="34"/>
  <c r="C20" i="34" s="1"/>
  <c r="C58" i="12"/>
  <c r="F52" i="11"/>
  <c r="E82" i="11"/>
  <c r="E81" i="11" s="1"/>
  <c r="E80" i="11" s="1"/>
  <c r="E52" i="11"/>
  <c r="H185" i="40"/>
  <c r="T185" i="40" s="1"/>
  <c r="H20" i="35"/>
  <c r="H25" i="35" s="1"/>
  <c r="J124" i="40"/>
  <c r="R124" i="40" s="1"/>
  <c r="C18" i="4"/>
  <c r="E23" i="36"/>
  <c r="E27" i="36" s="1"/>
  <c r="L133" i="58" s="1"/>
  <c r="K58" i="12"/>
  <c r="K82" i="11"/>
  <c r="K81" i="11" s="1"/>
  <c r="K80" i="11" s="1"/>
  <c r="I33" i="18"/>
  <c r="E22" i="3"/>
  <c r="E27" i="3" s="1"/>
  <c r="K75" i="40"/>
  <c r="O75" i="40" s="1"/>
  <c r="F27" i="5"/>
  <c r="F26" i="5" s="1"/>
  <c r="I32" i="18"/>
  <c r="Q32" i="18" s="1"/>
  <c r="C19" i="18"/>
  <c r="I19" i="18" s="1"/>
  <c r="E45" i="28"/>
  <c r="E48" i="28"/>
  <c r="D13" i="3"/>
  <c r="D22" i="3" s="1"/>
  <c r="D27" i="3" s="1"/>
  <c r="G15" i="8" s="1"/>
  <c r="I48" i="40"/>
  <c r="I35" i="18"/>
  <c r="E83" i="28"/>
  <c r="D46" i="28"/>
  <c r="L22" i="3"/>
  <c r="L27" i="3" s="1"/>
  <c r="F38" i="5"/>
  <c r="H44" i="40"/>
  <c r="H41" i="40"/>
  <c r="F97" i="8"/>
  <c r="D82" i="8"/>
  <c r="J29" i="16"/>
  <c r="S29" i="16" s="1"/>
  <c r="D47" i="28"/>
  <c r="C83" i="28"/>
  <c r="C66" i="28"/>
  <c r="E13" i="27"/>
  <c r="E13" i="28" s="1"/>
  <c r="M22" i="3"/>
  <c r="M27" i="3" s="1"/>
  <c r="H114" i="40"/>
  <c r="H102" i="46"/>
  <c r="H103" i="46"/>
  <c r="C36" i="48"/>
  <c r="E12" i="9"/>
  <c r="F19" i="9"/>
  <c r="J30" i="9"/>
  <c r="G58" i="9"/>
  <c r="C63" i="9"/>
  <c r="J76" i="9"/>
  <c r="D127" i="8"/>
  <c r="F119" i="8"/>
  <c r="G132" i="8"/>
  <c r="P13" i="3"/>
  <c r="Q31" i="18"/>
  <c r="R31" i="18"/>
  <c r="F102" i="46"/>
  <c r="C83" i="37"/>
  <c r="G208" i="8"/>
  <c r="C22" i="51"/>
  <c r="C19" i="51" s="1"/>
  <c r="C16" i="51" s="1"/>
  <c r="C11" i="51" s="1"/>
  <c r="K62" i="11"/>
  <c r="M27" i="40"/>
  <c r="M16" i="40"/>
  <c r="H16" i="46"/>
  <c r="E103" i="46"/>
  <c r="L103" i="46" s="1"/>
  <c r="C274" i="37"/>
  <c r="C273" i="37" s="1"/>
  <c r="C272" i="37" s="1"/>
  <c r="E275" i="37"/>
  <c r="F71" i="9"/>
  <c r="E84" i="9"/>
  <c r="F57" i="9"/>
  <c r="E102" i="46"/>
  <c r="L102" i="46" s="1"/>
  <c r="H108" i="40"/>
  <c r="H37" i="40"/>
  <c r="I27" i="18"/>
  <c r="G23" i="17"/>
  <c r="E12" i="27"/>
  <c r="E12" i="28" s="1"/>
  <c r="E17" i="27"/>
  <c r="D22" i="10"/>
  <c r="F30" i="28"/>
  <c r="J11" i="10"/>
  <c r="F11" i="11"/>
  <c r="D181" i="8"/>
  <c r="F188" i="8" s="1"/>
  <c r="K38" i="18"/>
  <c r="K36" i="18"/>
  <c r="K37" i="18" s="1"/>
  <c r="Q37" i="18" s="1"/>
  <c r="E66" i="28"/>
  <c r="D63" i="37"/>
  <c r="J48" i="40"/>
  <c r="R48" i="40" s="1"/>
  <c r="J39" i="15"/>
  <c r="H46" i="40"/>
  <c r="F82" i="11"/>
  <c r="F81" i="11" s="1"/>
  <c r="F80" i="11" s="1"/>
  <c r="E22" i="11"/>
  <c r="G188" i="8"/>
  <c r="C23" i="18"/>
  <c r="K37" i="17"/>
  <c r="I30" i="18"/>
  <c r="I17" i="18"/>
  <c r="Q17" i="18" s="1"/>
  <c r="S28" i="16"/>
  <c r="J36" i="16"/>
  <c r="O36" i="16" s="1"/>
  <c r="E54" i="28"/>
  <c r="E36" i="28"/>
  <c r="D60" i="28"/>
  <c r="F60" i="28" s="1"/>
  <c r="C95" i="28"/>
  <c r="D42" i="27"/>
  <c r="F48" i="27"/>
  <c r="E92" i="33"/>
  <c r="E36" i="18"/>
  <c r="E89" i="28"/>
  <c r="C36" i="28"/>
  <c r="C42" i="27"/>
  <c r="C24" i="27" s="1"/>
  <c r="K22" i="3"/>
  <c r="K27" i="3" s="1"/>
  <c r="H22" i="3"/>
  <c r="H27" i="3" s="1"/>
  <c r="E43" i="28"/>
  <c r="E16" i="27"/>
  <c r="E16" i="28" s="1"/>
  <c r="E10" i="5"/>
  <c r="E40" i="5" s="1"/>
  <c r="E25" i="52"/>
  <c r="G18" i="9"/>
  <c r="F267" i="40"/>
  <c r="M292" i="40" l="1"/>
  <c r="M14" i="40" s="1"/>
  <c r="Q112" i="40"/>
  <c r="H67" i="11"/>
  <c r="Q114" i="40"/>
  <c r="H69" i="11"/>
  <c r="Q113" i="40"/>
  <c r="H68" i="11"/>
  <c r="R32" i="18"/>
  <c r="C42" i="28"/>
  <c r="Q79" i="40"/>
  <c r="H48" i="11"/>
  <c r="J48" i="11" s="1"/>
  <c r="Q127" i="40"/>
  <c r="H85" i="11"/>
  <c r="Q80" i="40"/>
  <c r="H49" i="11"/>
  <c r="F83" i="83"/>
  <c r="G83" i="83" s="1"/>
  <c r="D83" i="82"/>
  <c r="E83" i="82" s="1"/>
  <c r="F63" i="83"/>
  <c r="G63" i="83" s="1"/>
  <c r="D63" i="82"/>
  <c r="E63" i="82" s="1"/>
  <c r="Q129" i="40"/>
  <c r="H87" i="11"/>
  <c r="Q128" i="40"/>
  <c r="H86" i="11"/>
  <c r="Q126" i="40"/>
  <c r="H84" i="11"/>
  <c r="T125" i="40"/>
  <c r="H83" i="11"/>
  <c r="Q121" i="40"/>
  <c r="H76" i="11"/>
  <c r="Q120" i="40"/>
  <c r="H75" i="11"/>
  <c r="Q108" i="40"/>
  <c r="H64" i="11"/>
  <c r="Q109" i="40"/>
  <c r="H65" i="11"/>
  <c r="Q88" i="40"/>
  <c r="H57" i="11"/>
  <c r="H56" i="11" s="1"/>
  <c r="H55" i="11" s="1"/>
  <c r="Q85" i="40"/>
  <c r="H54" i="11"/>
  <c r="J54" i="11" s="1"/>
  <c r="Q84" i="40"/>
  <c r="H53" i="11"/>
  <c r="Q81" i="40"/>
  <c r="H50" i="11"/>
  <c r="J50" i="11" s="1"/>
  <c r="Q78" i="40"/>
  <c r="H47" i="11"/>
  <c r="Q76" i="40"/>
  <c r="H45" i="11"/>
  <c r="Q77" i="40"/>
  <c r="H46" i="11"/>
  <c r="Q74" i="40"/>
  <c r="H43" i="11"/>
  <c r="H42" i="11" s="1"/>
  <c r="Q72" i="40"/>
  <c r="H41" i="11"/>
  <c r="Q69" i="40"/>
  <c r="H40" i="11"/>
  <c r="Q41" i="40"/>
  <c r="H16" i="11"/>
  <c r="Q40" i="40"/>
  <c r="H15" i="11"/>
  <c r="Q42" i="40"/>
  <c r="H17" i="11"/>
  <c r="Q44" i="40"/>
  <c r="H19" i="11"/>
  <c r="Q38" i="40"/>
  <c r="H13" i="11"/>
  <c r="Q37" i="40"/>
  <c r="H12" i="11"/>
  <c r="Q46" i="40"/>
  <c r="H20" i="11"/>
  <c r="Q47" i="40"/>
  <c r="H21" i="11"/>
  <c r="Q53" i="40"/>
  <c r="H27" i="11"/>
  <c r="Q54" i="40"/>
  <c r="H28" i="11"/>
  <c r="Q52" i="40"/>
  <c r="H26" i="11"/>
  <c r="Q49" i="40"/>
  <c r="H23" i="11"/>
  <c r="Q51" i="40"/>
  <c r="H25" i="11"/>
  <c r="Q50" i="40"/>
  <c r="H24" i="11"/>
  <c r="Q61" i="40"/>
  <c r="H34" i="11"/>
  <c r="Q59" i="40"/>
  <c r="H32" i="11"/>
  <c r="J32" i="11" s="1"/>
  <c r="Q62" i="40"/>
  <c r="H35" i="11"/>
  <c r="Q60" i="40"/>
  <c r="H33" i="11"/>
  <c r="J33" i="11" s="1"/>
  <c r="Q63" i="40"/>
  <c r="H36" i="11"/>
  <c r="Q64" i="40"/>
  <c r="H37" i="11"/>
  <c r="J37" i="11" s="1"/>
  <c r="Q65" i="40"/>
  <c r="H38" i="11"/>
  <c r="P107" i="40"/>
  <c r="G63" i="11"/>
  <c r="Q130" i="40"/>
  <c r="I11" i="10"/>
  <c r="K11" i="10" s="1"/>
  <c r="T291" i="40"/>
  <c r="I30" i="10"/>
  <c r="K30" i="10" s="1"/>
  <c r="T290" i="40"/>
  <c r="I29" i="10"/>
  <c r="K29" i="10" s="1"/>
  <c r="T300" i="40"/>
  <c r="I34" i="10"/>
  <c r="K34" i="10" s="1"/>
  <c r="P298" i="40"/>
  <c r="H32" i="10"/>
  <c r="T299" i="40"/>
  <c r="I33" i="10"/>
  <c r="K33" i="10" s="1"/>
  <c r="D274" i="82"/>
  <c r="E274" i="82" s="1"/>
  <c r="F274" i="83"/>
  <c r="G274" i="83" s="1"/>
  <c r="P241" i="40"/>
  <c r="H22" i="10"/>
  <c r="F167" i="83"/>
  <c r="G167" i="83" s="1"/>
  <c r="D167" i="82"/>
  <c r="E167" i="82" s="1"/>
  <c r="H101" i="46"/>
  <c r="H104" i="46" s="1"/>
  <c r="C57" i="48"/>
  <c r="D25" i="78"/>
  <c r="D22" i="78" s="1"/>
  <c r="D19" i="78" s="1"/>
  <c r="D15" i="78" s="1"/>
  <c r="C56" i="48"/>
  <c r="D24" i="78"/>
  <c r="D21" i="78" s="1"/>
  <c r="D18" i="78" s="1"/>
  <c r="D14" i="78" s="1"/>
  <c r="E102" i="9"/>
  <c r="J102" i="9" s="1"/>
  <c r="B26" i="50"/>
  <c r="B25" i="51" s="1"/>
  <c r="C28" i="78"/>
  <c r="B41" i="79" s="1"/>
  <c r="B26" i="80" s="1"/>
  <c r="F30" i="36"/>
  <c r="I106" i="40"/>
  <c r="I16" i="40" s="1"/>
  <c r="T278" i="40"/>
  <c r="H274" i="40"/>
  <c r="O111" i="40"/>
  <c r="K106" i="40"/>
  <c r="O106" i="40" s="1"/>
  <c r="P111" i="40"/>
  <c r="G106" i="40"/>
  <c r="G62" i="11" s="1"/>
  <c r="R111" i="40"/>
  <c r="J106" i="40"/>
  <c r="K274" i="40"/>
  <c r="O274" i="40" s="1"/>
  <c r="T228" i="40"/>
  <c r="H227" i="40"/>
  <c r="I20" i="10" s="1"/>
  <c r="R25" i="40"/>
  <c r="R13" i="40"/>
  <c r="T246" i="40"/>
  <c r="E27" i="40"/>
  <c r="H248" i="40"/>
  <c r="H245" i="40" s="1"/>
  <c r="I23" i="10" s="1"/>
  <c r="T249" i="40"/>
  <c r="O249" i="40"/>
  <c r="K248" i="40"/>
  <c r="K245" i="40" s="1"/>
  <c r="O228" i="40"/>
  <c r="K227" i="40"/>
  <c r="O227" i="40" s="1"/>
  <c r="E30" i="40"/>
  <c r="S298" i="40"/>
  <c r="D27" i="4"/>
  <c r="C23" i="4"/>
  <c r="C27" i="4" s="1"/>
  <c r="C29" i="4" s="1"/>
  <c r="J16" i="55"/>
  <c r="J15" i="55" s="1"/>
  <c r="G11" i="55"/>
  <c r="J13" i="30"/>
  <c r="J34" i="9"/>
  <c r="J33" i="9" s="1"/>
  <c r="E122" i="40"/>
  <c r="E29" i="40" s="1"/>
  <c r="P35" i="40"/>
  <c r="I38" i="17"/>
  <c r="D42" i="28"/>
  <c r="F42" i="28" s="1"/>
  <c r="E42" i="28"/>
  <c r="E19" i="9"/>
  <c r="C114" i="37"/>
  <c r="F48" i="20"/>
  <c r="F51" i="20" s="1"/>
  <c r="F54" i="20" s="1"/>
  <c r="S300" i="40"/>
  <c r="F27" i="40"/>
  <c r="J86" i="40"/>
  <c r="J24" i="40" s="1"/>
  <c r="R24" i="40" s="1"/>
  <c r="G285" i="40"/>
  <c r="S287" i="40"/>
  <c r="S241" i="40"/>
  <c r="S219" i="40"/>
  <c r="S269" i="40"/>
  <c r="S228" i="40"/>
  <c r="S139" i="40"/>
  <c r="S260" i="40"/>
  <c r="S180" i="40"/>
  <c r="S249" i="40"/>
  <c r="D57" i="9"/>
  <c r="D11" i="9" s="1"/>
  <c r="D10" i="9" s="1"/>
  <c r="G57" i="9"/>
  <c r="E57" i="9" s="1"/>
  <c r="I20" i="11"/>
  <c r="Q25" i="18"/>
  <c r="R25" i="18"/>
  <c r="F16" i="40"/>
  <c r="M10" i="40"/>
  <c r="C22" i="40"/>
  <c r="R24" i="18"/>
  <c r="Q24" i="18"/>
  <c r="Q29" i="18"/>
  <c r="R29" i="18"/>
  <c r="N102" i="46"/>
  <c r="J64" i="9"/>
  <c r="J63" i="9" s="1"/>
  <c r="H285" i="40"/>
  <c r="K153" i="40"/>
  <c r="O153" i="40" s="1"/>
  <c r="D19" i="10"/>
  <c r="H138" i="40"/>
  <c r="P268" i="40"/>
  <c r="G153" i="40"/>
  <c r="G138" i="40"/>
  <c r="G259" i="40"/>
  <c r="R268" i="40"/>
  <c r="J153" i="40"/>
  <c r="R153" i="40" s="1"/>
  <c r="C69" i="12"/>
  <c r="C68" i="12" s="1"/>
  <c r="C67" i="12" s="1"/>
  <c r="C9" i="12" s="1"/>
  <c r="C8" i="12" s="1"/>
  <c r="C292" i="40"/>
  <c r="C45" i="48" s="1"/>
  <c r="C42" i="48" s="1"/>
  <c r="J20" i="9"/>
  <c r="F26" i="10"/>
  <c r="S46" i="40"/>
  <c r="H261" i="40"/>
  <c r="T261" i="40" s="1"/>
  <c r="H19" i="30"/>
  <c r="E9" i="12"/>
  <c r="E8" i="12" s="1"/>
  <c r="G25" i="35"/>
  <c r="L157" i="58" s="1"/>
  <c r="Q26" i="18"/>
  <c r="R26" i="18"/>
  <c r="C11" i="27"/>
  <c r="C11" i="28" s="1"/>
  <c r="C24" i="28"/>
  <c r="D273" i="37"/>
  <c r="L70" i="40"/>
  <c r="U70" i="40" s="1"/>
  <c r="H260" i="40"/>
  <c r="T260" i="40" s="1"/>
  <c r="J259" i="40"/>
  <c r="R259" i="40" s="1"/>
  <c r="D114" i="37"/>
  <c r="D113" i="37" s="1"/>
  <c r="E167" i="37"/>
  <c r="E203" i="37"/>
  <c r="E63" i="37"/>
  <c r="C39" i="7"/>
  <c r="C64" i="7" s="1"/>
  <c r="E83" i="37"/>
  <c r="E100" i="37"/>
  <c r="T59" i="40"/>
  <c r="L59" i="40"/>
  <c r="U59" i="40" s="1"/>
  <c r="H241" i="40"/>
  <c r="F10" i="11"/>
  <c r="L45" i="40"/>
  <c r="J87" i="11"/>
  <c r="T129" i="40"/>
  <c r="H180" i="40"/>
  <c r="T180" i="40" s="1"/>
  <c r="L129" i="40"/>
  <c r="U129" i="40" s="1"/>
  <c r="J293" i="40"/>
  <c r="R293" i="40" s="1"/>
  <c r="I52" i="11"/>
  <c r="T45" i="40"/>
  <c r="S36" i="40"/>
  <c r="S48" i="40"/>
  <c r="J28" i="40"/>
  <c r="R28" i="40" s="1"/>
  <c r="S83" i="40"/>
  <c r="S107" i="40"/>
  <c r="S124" i="40"/>
  <c r="S119" i="40"/>
  <c r="S73" i="40"/>
  <c r="S87" i="40"/>
  <c r="S75" i="40"/>
  <c r="S111" i="40"/>
  <c r="I11" i="9"/>
  <c r="I10" i="9" s="1"/>
  <c r="K10" i="9" s="1"/>
  <c r="J190" i="40"/>
  <c r="R190" i="40" s="1"/>
  <c r="K190" i="40"/>
  <c r="O190" i="40" s="1"/>
  <c r="N103" i="46"/>
  <c r="L228" i="40"/>
  <c r="E12" i="40"/>
  <c r="C26" i="79" s="1"/>
  <c r="E22" i="40"/>
  <c r="N38" i="16"/>
  <c r="I18" i="30" s="1"/>
  <c r="S24" i="16"/>
  <c r="B18" i="30"/>
  <c r="B19" i="30" s="1"/>
  <c r="M22" i="40"/>
  <c r="D63" i="60"/>
  <c r="D66" i="60" s="1"/>
  <c r="C13" i="60"/>
  <c r="E136" i="40"/>
  <c r="J17" i="11"/>
  <c r="E11" i="27"/>
  <c r="E11" i="28" s="1"/>
  <c r="E17" i="28"/>
  <c r="G17" i="30"/>
  <c r="G19" i="30" s="1"/>
  <c r="I12" i="30"/>
  <c r="O21" i="16"/>
  <c r="S21" i="16" s="1"/>
  <c r="C17" i="30"/>
  <c r="E12" i="30"/>
  <c r="O20" i="16"/>
  <c r="S20" i="16" s="1"/>
  <c r="J25" i="16"/>
  <c r="O25" i="16" s="1"/>
  <c r="V25" i="16" s="1"/>
  <c r="M26" i="40"/>
  <c r="C54" i="32"/>
  <c r="E29" i="2"/>
  <c r="C57" i="9"/>
  <c r="C11" i="9" s="1"/>
  <c r="C10" i="9" s="1"/>
  <c r="Q22" i="18"/>
  <c r="D31" i="2"/>
  <c r="I66" i="11"/>
  <c r="T71" i="40"/>
  <c r="E24" i="40"/>
  <c r="L80" i="40"/>
  <c r="U80" i="40" s="1"/>
  <c r="L71" i="40"/>
  <c r="U71" i="40" s="1"/>
  <c r="L13" i="10"/>
  <c r="M136" i="40"/>
  <c r="H269" i="40"/>
  <c r="E14" i="2"/>
  <c r="E100" i="33"/>
  <c r="F136" i="40"/>
  <c r="D32" i="2"/>
  <c r="C296" i="40"/>
  <c r="E28" i="2"/>
  <c r="F296" i="40"/>
  <c r="T127" i="40"/>
  <c r="E16" i="40"/>
  <c r="C29" i="79" s="1"/>
  <c r="E67" i="40"/>
  <c r="G19" i="10"/>
  <c r="T130" i="40"/>
  <c r="F292" i="40"/>
  <c r="F26" i="40" s="1"/>
  <c r="T128" i="40"/>
  <c r="I44" i="11"/>
  <c r="I82" i="11"/>
  <c r="I81" i="11" s="1"/>
  <c r="I80" i="11" s="1"/>
  <c r="L65" i="40"/>
  <c r="T65" i="40"/>
  <c r="J38" i="11"/>
  <c r="L215" i="40"/>
  <c r="U215" i="40" s="1"/>
  <c r="E10" i="40"/>
  <c r="J84" i="11"/>
  <c r="L242" i="40"/>
  <c r="U242" i="40" s="1"/>
  <c r="J58" i="9"/>
  <c r="L85" i="40"/>
  <c r="U85" i="40" s="1"/>
  <c r="T70" i="40"/>
  <c r="J34" i="11"/>
  <c r="T61" i="40"/>
  <c r="J28" i="9"/>
  <c r="F39" i="15"/>
  <c r="S33" i="16"/>
  <c r="E62" i="11"/>
  <c r="F19" i="10"/>
  <c r="D26" i="10"/>
  <c r="E296" i="40"/>
  <c r="U158" i="40"/>
  <c r="L127" i="40"/>
  <c r="U127" i="40" s="1"/>
  <c r="J85" i="11"/>
  <c r="L128" i="40"/>
  <c r="U128" i="40" s="1"/>
  <c r="L113" i="40"/>
  <c r="T113" i="40"/>
  <c r="L109" i="40"/>
  <c r="L63" i="40"/>
  <c r="U63" i="40" s="1"/>
  <c r="J49" i="11"/>
  <c r="G28" i="40"/>
  <c r="P28" i="40" s="1"/>
  <c r="G31" i="10"/>
  <c r="F87" i="12" s="1"/>
  <c r="F84" i="12" s="1"/>
  <c r="L126" i="40"/>
  <c r="U126" i="40" s="1"/>
  <c r="I14" i="40"/>
  <c r="L79" i="40"/>
  <c r="U79" i="40" s="1"/>
  <c r="L243" i="40"/>
  <c r="U243" i="40" s="1"/>
  <c r="T112" i="40"/>
  <c r="L120" i="40"/>
  <c r="T120" i="40"/>
  <c r="T53" i="40"/>
  <c r="T49" i="40"/>
  <c r="T51" i="40"/>
  <c r="T50" i="40"/>
  <c r="T77" i="40"/>
  <c r="T56" i="40"/>
  <c r="T68" i="40"/>
  <c r="T52" i="40"/>
  <c r="L300" i="40"/>
  <c r="T79" i="40"/>
  <c r="F22" i="40"/>
  <c r="C10" i="11"/>
  <c r="T37" i="40"/>
  <c r="T80" i="40"/>
  <c r="J13" i="9"/>
  <c r="J12" i="9" s="1"/>
  <c r="L291" i="40"/>
  <c r="T126" i="40"/>
  <c r="J83" i="11"/>
  <c r="T121" i="40"/>
  <c r="T114" i="40"/>
  <c r="L112" i="40"/>
  <c r="T108" i="40"/>
  <c r="T109" i="40"/>
  <c r="T88" i="40"/>
  <c r="T84" i="40"/>
  <c r="T85" i="40"/>
  <c r="T81" i="40"/>
  <c r="T78" i="40"/>
  <c r="L77" i="40"/>
  <c r="T76" i="40"/>
  <c r="L74" i="40"/>
  <c r="U74" i="40" s="1"/>
  <c r="T74" i="40"/>
  <c r="T69" i="40"/>
  <c r="T72" i="40"/>
  <c r="L60" i="40"/>
  <c r="U60" i="40" s="1"/>
  <c r="J36" i="11"/>
  <c r="T62" i="40"/>
  <c r="T63" i="40"/>
  <c r="T64" i="40"/>
  <c r="T60" i="40"/>
  <c r="T54" i="40"/>
  <c r="T46" i="40"/>
  <c r="T47" i="40"/>
  <c r="T42" i="40"/>
  <c r="T38" i="40"/>
  <c r="T41" i="40"/>
  <c r="T40" i="40"/>
  <c r="T44" i="40"/>
  <c r="G123" i="40"/>
  <c r="P123" i="40" s="1"/>
  <c r="G86" i="40"/>
  <c r="P86" i="40" s="1"/>
  <c r="L219" i="40"/>
  <c r="U219" i="40" s="1"/>
  <c r="L209" i="40"/>
  <c r="U209" i="40" s="1"/>
  <c r="K123" i="40"/>
  <c r="K122" i="40" s="1"/>
  <c r="I63" i="11"/>
  <c r="K86" i="40"/>
  <c r="O86" i="40" s="1"/>
  <c r="O36" i="40"/>
  <c r="H19" i="9"/>
  <c r="H18" i="9" s="1"/>
  <c r="H11" i="55"/>
  <c r="H10" i="55"/>
  <c r="L286" i="40"/>
  <c r="U286" i="40" s="1"/>
  <c r="I11" i="11"/>
  <c r="F10" i="40"/>
  <c r="C45" i="19"/>
  <c r="C48" i="19" s="1"/>
  <c r="J86" i="11"/>
  <c r="J24" i="11"/>
  <c r="L50" i="40"/>
  <c r="J46" i="11"/>
  <c r="L51" i="40"/>
  <c r="J23" i="11"/>
  <c r="R106" i="40"/>
  <c r="J26" i="11"/>
  <c r="J25" i="11"/>
  <c r="L52" i="40"/>
  <c r="J40" i="11"/>
  <c r="H87" i="40"/>
  <c r="Q87" i="40" s="1"/>
  <c r="I267" i="40"/>
  <c r="L49" i="40"/>
  <c r="L249" i="40"/>
  <c r="U201" i="40"/>
  <c r="K13" i="40"/>
  <c r="O13" i="40" s="1"/>
  <c r="O89" i="40"/>
  <c r="I22" i="11"/>
  <c r="C69" i="33"/>
  <c r="E69" i="33" s="1"/>
  <c r="J93" i="9"/>
  <c r="I162" i="58"/>
  <c r="H71" i="9"/>
  <c r="H70" i="9" s="1"/>
  <c r="L88" i="40"/>
  <c r="H107" i="40"/>
  <c r="J41" i="11"/>
  <c r="O119" i="40"/>
  <c r="I59" i="11"/>
  <c r="I58" i="11" s="1"/>
  <c r="J72" i="9"/>
  <c r="H57" i="9"/>
  <c r="E18" i="33"/>
  <c r="J162" i="58"/>
  <c r="K162" i="58"/>
  <c r="F69" i="12"/>
  <c r="F68" i="12" s="1"/>
  <c r="F67" i="12" s="1"/>
  <c r="F9" i="12" s="1"/>
  <c r="F8" i="12" s="1"/>
  <c r="L72" i="40"/>
  <c r="U72" i="40" s="1"/>
  <c r="H111" i="40"/>
  <c r="H66" i="11" s="1"/>
  <c r="L42" i="40"/>
  <c r="E20" i="41"/>
  <c r="K25" i="40"/>
  <c r="O25" i="40" s="1"/>
  <c r="J22" i="10"/>
  <c r="C16" i="40"/>
  <c r="C28" i="79" s="1"/>
  <c r="C27" i="40"/>
  <c r="C62" i="11"/>
  <c r="E10" i="11"/>
  <c r="L69" i="40"/>
  <c r="U69" i="40" s="1"/>
  <c r="O90" i="40"/>
  <c r="H124" i="40"/>
  <c r="T124" i="40" s="1"/>
  <c r="L204" i="40"/>
  <c r="U204" i="40" s="1"/>
  <c r="J27" i="10"/>
  <c r="H211" i="40"/>
  <c r="T211" i="40" s="1"/>
  <c r="L76" i="40"/>
  <c r="L40" i="40"/>
  <c r="B36" i="32"/>
  <c r="L299" i="40"/>
  <c r="U299" i="40" s="1"/>
  <c r="L278" i="40"/>
  <c r="L274" i="40" s="1"/>
  <c r="J24" i="10"/>
  <c r="L246" i="40"/>
  <c r="L130" i="40"/>
  <c r="U130" i="40" s="1"/>
  <c r="C10" i="40"/>
  <c r="J84" i="9"/>
  <c r="J22" i="16"/>
  <c r="J15" i="11"/>
  <c r="C35" i="48"/>
  <c r="L84" i="40"/>
  <c r="U84" i="40" s="1"/>
  <c r="K293" i="40"/>
  <c r="O293" i="40" s="1"/>
  <c r="H298" i="40"/>
  <c r="F16" i="23"/>
  <c r="F19" i="23" s="1"/>
  <c r="E90" i="1"/>
  <c r="F10" i="5"/>
  <c r="F40" i="5" s="1"/>
  <c r="E19" i="41"/>
  <c r="K14" i="30"/>
  <c r="L125" i="40"/>
  <c r="U125" i="40" s="1"/>
  <c r="H83" i="40"/>
  <c r="Q83" i="40" s="1"/>
  <c r="J53" i="11"/>
  <c r="H75" i="40"/>
  <c r="Q75" i="40" s="1"/>
  <c r="H73" i="40"/>
  <c r="Q73" i="40" s="1"/>
  <c r="H162" i="58"/>
  <c r="C22" i="50"/>
  <c r="C19" i="50" s="1"/>
  <c r="C16" i="50" s="1"/>
  <c r="C11" i="50" s="1"/>
  <c r="I30" i="40"/>
  <c r="I19" i="40" s="1"/>
  <c r="I18" i="40" s="1"/>
  <c r="I122" i="40"/>
  <c r="I29" i="40" s="1"/>
  <c r="H25" i="40"/>
  <c r="H13" i="40"/>
  <c r="E21" i="2"/>
  <c r="L139" i="40"/>
  <c r="G15" i="10"/>
  <c r="L229" i="40"/>
  <c r="U229" i="40" s="1"/>
  <c r="H36" i="40"/>
  <c r="Q36" i="40" s="1"/>
  <c r="F31" i="10"/>
  <c r="E87" i="12" s="1"/>
  <c r="E292" i="40"/>
  <c r="C46" i="48" s="1"/>
  <c r="C43" i="48" s="1"/>
  <c r="L64" i="40"/>
  <c r="U64" i="40" s="1"/>
  <c r="L62" i="40"/>
  <c r="U62" i="40" s="1"/>
  <c r="D33" i="19"/>
  <c r="D36" i="19" s="1"/>
  <c r="E46" i="19"/>
  <c r="E13" i="60"/>
  <c r="F64" i="60"/>
  <c r="F67" i="60" s="1"/>
  <c r="C20" i="19"/>
  <c r="D51" i="20"/>
  <c r="D54" i="20" s="1"/>
  <c r="D15" i="10"/>
  <c r="E51" i="20"/>
  <c r="E54" i="20" s="1"/>
  <c r="K28" i="40"/>
  <c r="O28" i="40" s="1"/>
  <c r="I137" i="40"/>
  <c r="G25" i="40"/>
  <c r="P25" i="40" s="1"/>
  <c r="C30" i="40"/>
  <c r="C122" i="40"/>
  <c r="F24" i="40"/>
  <c r="F12" i="40"/>
  <c r="L114" i="40"/>
  <c r="G35" i="40"/>
  <c r="G13" i="10"/>
  <c r="K35" i="40"/>
  <c r="G13" i="40"/>
  <c r="P13" i="40" s="1"/>
  <c r="J35" i="11"/>
  <c r="F122" i="40"/>
  <c r="F29" i="40" s="1"/>
  <c r="F30" i="40"/>
  <c r="K9" i="12"/>
  <c r="K8" i="12" s="1"/>
  <c r="L153" i="58"/>
  <c r="L68" i="40"/>
  <c r="U68" i="40" s="1"/>
  <c r="E29" i="36"/>
  <c r="F29" i="36"/>
  <c r="L154" i="58"/>
  <c r="C29" i="35"/>
  <c r="L145" i="58"/>
  <c r="K102" i="46"/>
  <c r="D38" i="8"/>
  <c r="F51" i="8"/>
  <c r="L54" i="40"/>
  <c r="J28" i="11"/>
  <c r="D21" i="8"/>
  <c r="F26" i="8"/>
  <c r="J29" i="11"/>
  <c r="L26" i="10"/>
  <c r="M67" i="40"/>
  <c r="M66" i="40" s="1"/>
  <c r="C59" i="32" s="1"/>
  <c r="H48" i="40"/>
  <c r="Q48" i="40" s="1"/>
  <c r="L53" i="40"/>
  <c r="J21" i="11"/>
  <c r="L47" i="40"/>
  <c r="J32" i="10"/>
  <c r="J28" i="10"/>
  <c r="K267" i="40"/>
  <c r="O267" i="40" s="1"/>
  <c r="J14" i="10"/>
  <c r="C56" i="33"/>
  <c r="C10" i="33" s="1"/>
  <c r="E57" i="33"/>
  <c r="K10" i="11"/>
  <c r="L287" i="40"/>
  <c r="U287" i="40" s="1"/>
  <c r="L290" i="40"/>
  <c r="J13" i="11"/>
  <c r="L38" i="40"/>
  <c r="L210" i="40"/>
  <c r="U210" i="40" s="1"/>
  <c r="L121" i="40"/>
  <c r="U121" i="40" s="1"/>
  <c r="H119" i="40"/>
  <c r="Q119" i="40" s="1"/>
  <c r="L205" i="40"/>
  <c r="U205" i="40" s="1"/>
  <c r="L256" i="40"/>
  <c r="U256" i="40" s="1"/>
  <c r="F67" i="40"/>
  <c r="L81" i="40"/>
  <c r="U81" i="40" s="1"/>
  <c r="L41" i="40"/>
  <c r="J16" i="11"/>
  <c r="C23" i="36"/>
  <c r="C27" i="36" s="1"/>
  <c r="D27" i="36"/>
  <c r="L44" i="40"/>
  <c r="J19" i="11"/>
  <c r="J123" i="40"/>
  <c r="R123" i="40" s="1"/>
  <c r="I226" i="40"/>
  <c r="I39" i="18"/>
  <c r="Q35" i="18"/>
  <c r="S37" i="18"/>
  <c r="R35" i="18"/>
  <c r="Q33" i="18"/>
  <c r="R33" i="18"/>
  <c r="E26" i="41"/>
  <c r="K304" i="40"/>
  <c r="R19" i="18"/>
  <c r="Q19" i="18"/>
  <c r="L185" i="40"/>
  <c r="L78" i="40"/>
  <c r="U78" i="40" s="1"/>
  <c r="J47" i="11"/>
  <c r="C22" i="48"/>
  <c r="C24" i="49"/>
  <c r="C21" i="49" s="1"/>
  <c r="C18" i="49" s="1"/>
  <c r="C14" i="49" s="1"/>
  <c r="F104" i="46"/>
  <c r="D45" i="19"/>
  <c r="D48" i="19" s="1"/>
  <c r="E63" i="60"/>
  <c r="E66" i="60" s="1"/>
  <c r="D32" i="19"/>
  <c r="E15" i="23"/>
  <c r="E18" i="23" s="1"/>
  <c r="E58" i="9"/>
  <c r="L46" i="40"/>
  <c r="Q27" i="18"/>
  <c r="R27" i="18"/>
  <c r="G293" i="40"/>
  <c r="C33" i="19"/>
  <c r="D16" i="23"/>
  <c r="D19" i="23" s="1"/>
  <c r="L37" i="40"/>
  <c r="L108" i="40"/>
  <c r="U108" i="40" s="1"/>
  <c r="E274" i="37"/>
  <c r="F42" i="27"/>
  <c r="D24" i="27"/>
  <c r="D24" i="28" s="1"/>
  <c r="F24" i="28" s="1"/>
  <c r="Q30" i="18"/>
  <c r="R30" i="18"/>
  <c r="E269" i="37"/>
  <c r="E270" i="37"/>
  <c r="R38" i="18"/>
  <c r="Q38" i="18"/>
  <c r="M102" i="46"/>
  <c r="G26" i="10"/>
  <c r="E33" i="9"/>
  <c r="F18" i="9"/>
  <c r="F11" i="9" s="1"/>
  <c r="I35" i="40"/>
  <c r="C28" i="48"/>
  <c r="C21" i="50"/>
  <c r="C18" i="50" s="1"/>
  <c r="C15" i="50" s="1"/>
  <c r="C10" i="50" s="1"/>
  <c r="J35" i="40"/>
  <c r="R35" i="40" s="1"/>
  <c r="C36" i="18"/>
  <c r="E37" i="18"/>
  <c r="C37" i="18" s="1"/>
  <c r="D18" i="30" s="1"/>
  <c r="G211" i="40"/>
  <c r="P211" i="40" s="1"/>
  <c r="G36" i="17"/>
  <c r="I23" i="18"/>
  <c r="F70" i="9"/>
  <c r="E71" i="9"/>
  <c r="H22" i="11" l="1"/>
  <c r="P106" i="40"/>
  <c r="H74" i="11"/>
  <c r="H11" i="11"/>
  <c r="H10" i="11" s="1"/>
  <c r="H82" i="11"/>
  <c r="H81" i="11" s="1"/>
  <c r="H80" i="11" s="1"/>
  <c r="H52" i="11"/>
  <c r="O248" i="40"/>
  <c r="C44" i="37"/>
  <c r="C43" i="37" s="1"/>
  <c r="C35" i="37" s="1"/>
  <c r="C34" i="37" s="1"/>
  <c r="C108" i="37" s="1"/>
  <c r="C113" i="37"/>
  <c r="E113" i="37" s="1"/>
  <c r="D113" i="82"/>
  <c r="E113" i="82" s="1"/>
  <c r="F113" i="83"/>
  <c r="G113" i="83" s="1"/>
  <c r="T285" i="40"/>
  <c r="I28" i="10"/>
  <c r="K28" i="10" s="1"/>
  <c r="Q107" i="40"/>
  <c r="H63" i="11"/>
  <c r="H44" i="11"/>
  <c r="P285" i="40"/>
  <c r="H28" i="10"/>
  <c r="P293" i="40"/>
  <c r="H31" i="10"/>
  <c r="J304" i="40"/>
  <c r="G304" i="40"/>
  <c r="T298" i="40"/>
  <c r="I32" i="10"/>
  <c r="K32" i="10" s="1"/>
  <c r="F273" i="83"/>
  <c r="G273" i="83" s="1"/>
  <c r="D273" i="82"/>
  <c r="E273" i="82" s="1"/>
  <c r="P259" i="40"/>
  <c r="H24" i="10"/>
  <c r="T241" i="40"/>
  <c r="I22" i="10"/>
  <c r="K22" i="10" s="1"/>
  <c r="P153" i="40"/>
  <c r="H15" i="10"/>
  <c r="F114" i="83"/>
  <c r="G114" i="83" s="1"/>
  <c r="D114" i="82"/>
  <c r="E114" i="82" s="1"/>
  <c r="T138" i="40"/>
  <c r="I14" i="10"/>
  <c r="K14" i="10" s="1"/>
  <c r="P138" i="40"/>
  <c r="H14" i="10"/>
  <c r="T274" i="40"/>
  <c r="I67" i="40"/>
  <c r="I66" i="40" s="1"/>
  <c r="I58" i="40" s="1"/>
  <c r="I57" i="40" s="1"/>
  <c r="I131" i="40" s="1"/>
  <c r="C20" i="79"/>
  <c r="C19" i="79"/>
  <c r="S274" i="40"/>
  <c r="U246" i="40"/>
  <c r="T269" i="40"/>
  <c r="H268" i="40"/>
  <c r="Q111" i="40"/>
  <c r="H106" i="40"/>
  <c r="H62" i="11" s="1"/>
  <c r="E19" i="40"/>
  <c r="C19" i="40"/>
  <c r="J20" i="11"/>
  <c r="U249" i="40"/>
  <c r="L248" i="40"/>
  <c r="L245" i="40" s="1"/>
  <c r="R86" i="40"/>
  <c r="U228" i="40"/>
  <c r="L227" i="40"/>
  <c r="E114" i="37"/>
  <c r="E11" i="55"/>
  <c r="E10" i="55"/>
  <c r="G11" i="9"/>
  <c r="G10" i="9" s="1"/>
  <c r="S293" i="40"/>
  <c r="L261" i="40"/>
  <c r="U261" i="40" s="1"/>
  <c r="T248" i="40"/>
  <c r="E20" i="19"/>
  <c r="E23" i="19" s="1"/>
  <c r="T227" i="40"/>
  <c r="N37" i="40"/>
  <c r="U37" i="40"/>
  <c r="N46" i="40"/>
  <c r="U46" i="40"/>
  <c r="N41" i="40"/>
  <c r="U41" i="40"/>
  <c r="N54" i="40"/>
  <c r="U54" i="40"/>
  <c r="J69" i="11"/>
  <c r="U114" i="40"/>
  <c r="N50" i="40"/>
  <c r="U50" i="40"/>
  <c r="N77" i="40"/>
  <c r="U77" i="40"/>
  <c r="J67" i="11"/>
  <c r="U112" i="40"/>
  <c r="S268" i="40"/>
  <c r="J12" i="40"/>
  <c r="R12" i="40" s="1"/>
  <c r="S211" i="40"/>
  <c r="U290" i="40"/>
  <c r="L180" i="40"/>
  <c r="U180" i="40" s="1"/>
  <c r="U185" i="40"/>
  <c r="N47" i="40"/>
  <c r="U47" i="40"/>
  <c r="N76" i="40"/>
  <c r="U76" i="40"/>
  <c r="N49" i="40"/>
  <c r="U49" i="40"/>
  <c r="N51" i="40"/>
  <c r="U51" i="40"/>
  <c r="U291" i="40"/>
  <c r="U300" i="40"/>
  <c r="S259" i="40"/>
  <c r="U274" i="40"/>
  <c r="U278" i="40"/>
  <c r="N88" i="40"/>
  <c r="U88" i="40"/>
  <c r="N52" i="40"/>
  <c r="U52" i="40"/>
  <c r="J68" i="11"/>
  <c r="U113" i="40"/>
  <c r="J292" i="40"/>
  <c r="R292" i="40" s="1"/>
  <c r="S227" i="40"/>
  <c r="S138" i="40"/>
  <c r="S285" i="40"/>
  <c r="N44" i="40"/>
  <c r="U44" i="40"/>
  <c r="N38" i="40"/>
  <c r="U38" i="40"/>
  <c r="N53" i="40"/>
  <c r="U53" i="40"/>
  <c r="L138" i="40"/>
  <c r="U138" i="40" s="1"/>
  <c r="U139" i="40"/>
  <c r="N40" i="40"/>
  <c r="U40" i="40"/>
  <c r="N42" i="40"/>
  <c r="U42" i="40"/>
  <c r="J75" i="11"/>
  <c r="U120" i="40"/>
  <c r="J65" i="11"/>
  <c r="U109" i="40"/>
  <c r="S246" i="40"/>
  <c r="N45" i="40"/>
  <c r="U45" i="40"/>
  <c r="S153" i="40"/>
  <c r="S248" i="40"/>
  <c r="L260" i="40"/>
  <c r="H153" i="40"/>
  <c r="L285" i="40"/>
  <c r="J20" i="10"/>
  <c r="K20" i="10" s="1"/>
  <c r="C26" i="40"/>
  <c r="C14" i="40"/>
  <c r="D22" i="80" s="1"/>
  <c r="D19" i="80" s="1"/>
  <c r="D16" i="80" s="1"/>
  <c r="D12" i="80" s="1"/>
  <c r="C295" i="40"/>
  <c r="H259" i="40"/>
  <c r="D272" i="37"/>
  <c r="D44" i="37"/>
  <c r="L107" i="40"/>
  <c r="U107" i="40" s="1"/>
  <c r="E99" i="37"/>
  <c r="E22" i="41"/>
  <c r="E10" i="37"/>
  <c r="I27" i="40"/>
  <c r="L241" i="40"/>
  <c r="O245" i="40"/>
  <c r="J226" i="40"/>
  <c r="J16" i="10"/>
  <c r="S35" i="40"/>
  <c r="S123" i="40"/>
  <c r="J16" i="40"/>
  <c r="R16" i="40" s="1"/>
  <c r="S13" i="40"/>
  <c r="S86" i="40"/>
  <c r="S28" i="40"/>
  <c r="S25" i="40"/>
  <c r="S106" i="40"/>
  <c r="J17" i="40"/>
  <c r="R17" i="40" s="1"/>
  <c r="G190" i="40"/>
  <c r="H190" i="40"/>
  <c r="L269" i="40"/>
  <c r="L268" i="40" s="1"/>
  <c r="J267" i="40"/>
  <c r="R267" i="40" s="1"/>
  <c r="E66" i="40"/>
  <c r="J37" i="16"/>
  <c r="S25" i="16"/>
  <c r="O37" i="16"/>
  <c r="I38" i="18" s="1"/>
  <c r="L49" i="58"/>
  <c r="I17" i="30"/>
  <c r="I19" i="30" s="1"/>
  <c r="L28" i="58"/>
  <c r="J12" i="30"/>
  <c r="K12" i="30" s="1"/>
  <c r="O22" i="16"/>
  <c r="R22" i="16" s="1"/>
  <c r="D17" i="30"/>
  <c r="D19" i="30" s="1"/>
  <c r="E15" i="30"/>
  <c r="C23" i="19"/>
  <c r="D40" i="2"/>
  <c r="D44" i="2" s="1"/>
  <c r="F44" i="2" s="1"/>
  <c r="D39" i="2"/>
  <c r="D43" i="2" s="1"/>
  <c r="F43" i="2" s="1"/>
  <c r="F85" i="12"/>
  <c r="E24" i="2"/>
  <c r="E104" i="46"/>
  <c r="I136" i="40"/>
  <c r="J19" i="9"/>
  <c r="J18" i="9" s="1"/>
  <c r="F295" i="40"/>
  <c r="G30" i="40"/>
  <c r="G19" i="40" s="1"/>
  <c r="F14" i="40"/>
  <c r="G122" i="40"/>
  <c r="S122" i="40" s="1"/>
  <c r="J57" i="9"/>
  <c r="L211" i="40"/>
  <c r="J137" i="40"/>
  <c r="C9" i="33"/>
  <c r="I11" i="3" s="1"/>
  <c r="F10" i="9"/>
  <c r="G17" i="40"/>
  <c r="P17" i="40" s="1"/>
  <c r="L73" i="40"/>
  <c r="U73" i="40" s="1"/>
  <c r="J57" i="11"/>
  <c r="J56" i="11" s="1"/>
  <c r="J55" i="11" s="1"/>
  <c r="E295" i="40"/>
  <c r="S36" i="16"/>
  <c r="G12" i="40"/>
  <c r="P12" i="40" s="1"/>
  <c r="G27" i="40"/>
  <c r="P27" i="40" s="1"/>
  <c r="F66" i="40"/>
  <c r="T75" i="40"/>
  <c r="T83" i="40"/>
  <c r="O123" i="40"/>
  <c r="I10" i="11"/>
  <c r="C19" i="3"/>
  <c r="C21" i="3" s="1"/>
  <c r="P21" i="3"/>
  <c r="K163" i="58"/>
  <c r="J82" i="11"/>
  <c r="J81" i="11" s="1"/>
  <c r="J80" i="11" s="1"/>
  <c r="T119" i="40"/>
  <c r="J27" i="40"/>
  <c r="R27" i="40" s="1"/>
  <c r="T111" i="40"/>
  <c r="T107" i="40"/>
  <c r="T87" i="40"/>
  <c r="T73" i="40"/>
  <c r="T48" i="40"/>
  <c r="T36" i="40"/>
  <c r="G24" i="40"/>
  <c r="P24" i="40" s="1"/>
  <c r="G16" i="40"/>
  <c r="P16" i="40" s="1"/>
  <c r="K292" i="40"/>
  <c r="O292" i="40" s="1"/>
  <c r="J26" i="10"/>
  <c r="O122" i="40"/>
  <c r="K30" i="40"/>
  <c r="O30" i="40" s="1"/>
  <c r="K17" i="40"/>
  <c r="O17" i="40" s="1"/>
  <c r="K16" i="40"/>
  <c r="O16" i="40" s="1"/>
  <c r="I62" i="11"/>
  <c r="K27" i="40"/>
  <c r="O27" i="40" s="1"/>
  <c r="T13" i="40"/>
  <c r="T25" i="40"/>
  <c r="K24" i="40"/>
  <c r="O24" i="40" s="1"/>
  <c r="K12" i="40"/>
  <c r="O12" i="40" s="1"/>
  <c r="O35" i="40"/>
  <c r="H11" i="9"/>
  <c r="H10" i="9" s="1"/>
  <c r="I18" i="24"/>
  <c r="I16" i="24" s="1"/>
  <c r="K29" i="40"/>
  <c r="O29" i="40" s="1"/>
  <c r="L87" i="40"/>
  <c r="U87" i="40" s="1"/>
  <c r="I16" i="3"/>
  <c r="I17" i="3" s="1"/>
  <c r="H123" i="40"/>
  <c r="H86" i="40"/>
  <c r="Q86" i="40" s="1"/>
  <c r="J31" i="10"/>
  <c r="J71" i="9"/>
  <c r="J70" i="9" s="1"/>
  <c r="L83" i="40"/>
  <c r="U83" i="40" s="1"/>
  <c r="L298" i="40"/>
  <c r="U298" i="40" s="1"/>
  <c r="L294" i="40"/>
  <c r="U294" i="40" s="1"/>
  <c r="L75" i="40"/>
  <c r="U75" i="40" s="1"/>
  <c r="J43" i="11"/>
  <c r="J42" i="11" s="1"/>
  <c r="F16" i="24"/>
  <c r="F15" i="24"/>
  <c r="E16" i="24"/>
  <c r="E15" i="24"/>
  <c r="H293" i="40"/>
  <c r="L124" i="40"/>
  <c r="U124" i="40" s="1"/>
  <c r="J52" i="11"/>
  <c r="J45" i="11"/>
  <c r="J44" i="11" s="1"/>
  <c r="E23" i="2"/>
  <c r="D20" i="19"/>
  <c r="D23" i="19" s="1"/>
  <c r="J15" i="10"/>
  <c r="L36" i="40"/>
  <c r="E14" i="40"/>
  <c r="D23" i="80" s="1"/>
  <c r="D20" i="80" s="1"/>
  <c r="D17" i="80" s="1"/>
  <c r="D13" i="80" s="1"/>
  <c r="E26" i="40"/>
  <c r="E85" i="12"/>
  <c r="E84" i="12"/>
  <c r="E70" i="9"/>
  <c r="E49" i="19"/>
  <c r="K22" i="40"/>
  <c r="O22" i="40" s="1"/>
  <c r="K137" i="40"/>
  <c r="K10" i="40"/>
  <c r="O10" i="40" s="1"/>
  <c r="F19" i="40"/>
  <c r="F91" i="11"/>
  <c r="F90" i="11" s="1"/>
  <c r="F89" i="11" s="1"/>
  <c r="F88" i="11" s="1"/>
  <c r="C29" i="40"/>
  <c r="L111" i="40"/>
  <c r="G22" i="40"/>
  <c r="P22" i="40" s="1"/>
  <c r="G10" i="40"/>
  <c r="P10" i="40" s="1"/>
  <c r="B32" i="46"/>
  <c r="D29" i="36"/>
  <c r="G35" i="8"/>
  <c r="L48" i="40"/>
  <c r="J27" i="11"/>
  <c r="J22" i="11" s="1"/>
  <c r="E56" i="33"/>
  <c r="H28" i="40"/>
  <c r="H17" i="40" s="1"/>
  <c r="L119" i="40"/>
  <c r="J76" i="11"/>
  <c r="J60" i="11"/>
  <c r="J30" i="40"/>
  <c r="R30" i="40" s="1"/>
  <c r="J122" i="40"/>
  <c r="R122" i="40" s="1"/>
  <c r="K67" i="40"/>
  <c r="O67" i="40" s="1"/>
  <c r="I81" i="12"/>
  <c r="I80" i="12" s="1"/>
  <c r="I79" i="12" s="1"/>
  <c r="I78" i="12" s="1"/>
  <c r="K303" i="40"/>
  <c r="K302" i="40" s="1"/>
  <c r="K301" i="40" s="1"/>
  <c r="E50" i="20"/>
  <c r="E53" i="20" s="1"/>
  <c r="D19" i="19"/>
  <c r="D22" i="19" s="1"/>
  <c r="D35" i="19"/>
  <c r="D15" i="23"/>
  <c r="D18" i="23" s="1"/>
  <c r="C32" i="19"/>
  <c r="G292" i="40"/>
  <c r="P292" i="40" s="1"/>
  <c r="R23" i="18"/>
  <c r="Q23" i="18"/>
  <c r="G267" i="40"/>
  <c r="D11" i="27"/>
  <c r="D11" i="28" s="1"/>
  <c r="F24" i="27"/>
  <c r="E273" i="37"/>
  <c r="J64" i="11"/>
  <c r="H35" i="40"/>
  <c r="Q35" i="40" s="1"/>
  <c r="I36" i="18"/>
  <c r="G37" i="17"/>
  <c r="J22" i="40"/>
  <c r="R22" i="40" s="1"/>
  <c r="J10" i="40"/>
  <c r="R10" i="40" s="1"/>
  <c r="J12" i="11"/>
  <c r="J11" i="11" s="1"/>
  <c r="G26" i="8"/>
  <c r="I22" i="40"/>
  <c r="I10" i="40"/>
  <c r="E18" i="9"/>
  <c r="C36" i="19"/>
  <c r="C10" i="19"/>
  <c r="Q106" i="40" l="1"/>
  <c r="F272" i="83"/>
  <c r="G272" i="83" s="1"/>
  <c r="D272" i="82"/>
  <c r="E272" i="82" s="1"/>
  <c r="G303" i="40"/>
  <c r="G302" i="40" s="1"/>
  <c r="G301" i="40" s="1"/>
  <c r="G81" i="12"/>
  <c r="H304" i="40"/>
  <c r="H81" i="12" s="1"/>
  <c r="J303" i="40"/>
  <c r="T293" i="40"/>
  <c r="I31" i="10"/>
  <c r="P267" i="40"/>
  <c r="H26" i="10"/>
  <c r="T268" i="40"/>
  <c r="I27" i="10"/>
  <c r="K27" i="10" s="1"/>
  <c r="T259" i="40"/>
  <c r="I24" i="10"/>
  <c r="K24" i="10" s="1"/>
  <c r="T190" i="40"/>
  <c r="I16" i="10"/>
  <c r="K16" i="10" s="1"/>
  <c r="P190" i="40"/>
  <c r="H16" i="10"/>
  <c r="T153" i="40"/>
  <c r="I15" i="10"/>
  <c r="K15" i="10" s="1"/>
  <c r="F44" i="83"/>
  <c r="G44" i="83" s="1"/>
  <c r="D44" i="82"/>
  <c r="E44" i="82" s="1"/>
  <c r="H87" i="12"/>
  <c r="I85" i="12" s="1"/>
  <c r="K31" i="10"/>
  <c r="L106" i="40"/>
  <c r="U106" i="40" s="1"/>
  <c r="P19" i="40"/>
  <c r="E18" i="40"/>
  <c r="C18" i="40"/>
  <c r="P30" i="40"/>
  <c r="J66" i="40"/>
  <c r="R226" i="40"/>
  <c r="E58" i="40"/>
  <c r="E272" i="37"/>
  <c r="S292" i="40"/>
  <c r="E11" i="9"/>
  <c r="E10" i="9" s="1"/>
  <c r="J10" i="55"/>
  <c r="J11" i="55"/>
  <c r="E10" i="19"/>
  <c r="E13" i="19" s="1"/>
  <c r="L153" i="40"/>
  <c r="U153" i="40" s="1"/>
  <c r="J74" i="11"/>
  <c r="T245" i="40"/>
  <c r="L28" i="40"/>
  <c r="L17" i="40" s="1"/>
  <c r="U119" i="40"/>
  <c r="U268" i="40"/>
  <c r="U269" i="40"/>
  <c r="J66" i="11"/>
  <c r="U111" i="40"/>
  <c r="N36" i="40"/>
  <c r="U36" i="40"/>
  <c r="U241" i="40"/>
  <c r="L190" i="40"/>
  <c r="U190" i="40" s="1"/>
  <c r="U211" i="40"/>
  <c r="S190" i="40"/>
  <c r="S245" i="40"/>
  <c r="S267" i="40"/>
  <c r="N48" i="40"/>
  <c r="U48" i="40"/>
  <c r="U245" i="40"/>
  <c r="U248" i="40"/>
  <c r="U227" i="40"/>
  <c r="U285" i="40"/>
  <c r="L259" i="40"/>
  <c r="U260" i="40"/>
  <c r="I23" i="40"/>
  <c r="I21" i="40" s="1"/>
  <c r="I34" i="40"/>
  <c r="D43" i="37"/>
  <c r="E44" i="37"/>
  <c r="H267" i="40"/>
  <c r="S10" i="40"/>
  <c r="S24" i="40"/>
  <c r="S17" i="40"/>
  <c r="S27" i="40"/>
  <c r="S22" i="40"/>
  <c r="S12" i="40"/>
  <c r="J19" i="40"/>
  <c r="R19" i="40" s="1"/>
  <c r="S16" i="40"/>
  <c r="S30" i="40"/>
  <c r="E39" i="11"/>
  <c r="E31" i="11" s="1"/>
  <c r="E30" i="11" s="1"/>
  <c r="E9" i="11" s="1"/>
  <c r="E8" i="11" s="1"/>
  <c r="G29" i="40"/>
  <c r="P29" i="40" s="1"/>
  <c r="I11" i="40"/>
  <c r="I9" i="40" s="1"/>
  <c r="S37" i="16"/>
  <c r="J38" i="16"/>
  <c r="S22" i="16"/>
  <c r="O38" i="16"/>
  <c r="L30" i="58"/>
  <c r="E17" i="30"/>
  <c r="J15" i="30"/>
  <c r="K15" i="30" s="1"/>
  <c r="C13" i="19"/>
  <c r="C35" i="19"/>
  <c r="J136" i="40"/>
  <c r="E32" i="2"/>
  <c r="G226" i="40"/>
  <c r="H19" i="10" s="1"/>
  <c r="H122" i="40"/>
  <c r="H29" i="40" s="1"/>
  <c r="T29" i="40" s="1"/>
  <c r="T123" i="40"/>
  <c r="K226" i="40"/>
  <c r="O226" i="40" s="1"/>
  <c r="J23" i="10"/>
  <c r="K23" i="10" s="1"/>
  <c r="F39" i="11"/>
  <c r="F31" i="11" s="1"/>
  <c r="F30" i="11" s="1"/>
  <c r="F9" i="11" s="1"/>
  <c r="F8" i="11" s="1"/>
  <c r="C16" i="3"/>
  <c r="H226" i="40"/>
  <c r="I19" i="10" s="1"/>
  <c r="J11" i="9"/>
  <c r="J10" i="9" s="1"/>
  <c r="G18" i="40"/>
  <c r="K14" i="40"/>
  <c r="O14" i="40" s="1"/>
  <c r="H30" i="40"/>
  <c r="H19" i="40" s="1"/>
  <c r="H18" i="40" s="1"/>
  <c r="T28" i="40"/>
  <c r="T106" i="40"/>
  <c r="T86" i="40"/>
  <c r="T35" i="40"/>
  <c r="J13" i="10"/>
  <c r="O137" i="40"/>
  <c r="K66" i="40"/>
  <c r="O66" i="40" s="1"/>
  <c r="K19" i="40"/>
  <c r="O19" i="40" s="1"/>
  <c r="T17" i="40"/>
  <c r="L86" i="40"/>
  <c r="P17" i="3"/>
  <c r="C15" i="3"/>
  <c r="L293" i="40"/>
  <c r="U293" i="40" s="1"/>
  <c r="L297" i="40"/>
  <c r="U297" i="40" s="1"/>
  <c r="H24" i="40"/>
  <c r="T24" i="40" s="1"/>
  <c r="H12" i="40"/>
  <c r="T12" i="40" s="1"/>
  <c r="J59" i="11"/>
  <c r="J58" i="11" s="1"/>
  <c r="D45" i="2"/>
  <c r="L123" i="40"/>
  <c r="U123" i="40" s="1"/>
  <c r="H292" i="40"/>
  <c r="T292" i="40" s="1"/>
  <c r="E31" i="2"/>
  <c r="D10" i="19"/>
  <c r="D13" i="19" s="1"/>
  <c r="H137" i="40"/>
  <c r="I13" i="10" s="1"/>
  <c r="F58" i="40"/>
  <c r="L35" i="40"/>
  <c r="U35" i="40" s="1"/>
  <c r="F18" i="40"/>
  <c r="J10" i="11"/>
  <c r="M58" i="40"/>
  <c r="K39" i="11"/>
  <c r="K31" i="11" s="1"/>
  <c r="E10" i="33"/>
  <c r="J29" i="40"/>
  <c r="R29" i="40" s="1"/>
  <c r="K294" i="40"/>
  <c r="O294" i="40" s="1"/>
  <c r="K297" i="40"/>
  <c r="O297" i="40" s="1"/>
  <c r="D9" i="19"/>
  <c r="D12" i="19" s="1"/>
  <c r="J63" i="11"/>
  <c r="H16" i="40"/>
  <c r="T16" i="40" s="1"/>
  <c r="H27" i="40"/>
  <c r="T27" i="40" s="1"/>
  <c r="I37" i="18"/>
  <c r="C18" i="30"/>
  <c r="C19" i="30" s="1"/>
  <c r="H10" i="40"/>
  <c r="T10" i="40" s="1"/>
  <c r="H22" i="40"/>
  <c r="T22" i="40" s="1"/>
  <c r="I84" i="12" l="1"/>
  <c r="J302" i="40"/>
  <c r="H303" i="40"/>
  <c r="T267" i="40"/>
  <c r="I26" i="10"/>
  <c r="K26" i="10" s="1"/>
  <c r="K13" i="10"/>
  <c r="E43" i="37"/>
  <c r="D43" i="82"/>
  <c r="E43" i="82" s="1"/>
  <c r="F43" i="83"/>
  <c r="G43" i="83" s="1"/>
  <c r="C34" i="79"/>
  <c r="C35" i="79"/>
  <c r="H67" i="40"/>
  <c r="H66" i="40" s="1"/>
  <c r="H39" i="11" s="1"/>
  <c r="H31" i="11" s="1"/>
  <c r="H30" i="11" s="1"/>
  <c r="H9" i="11" s="1"/>
  <c r="P18" i="40"/>
  <c r="P226" i="40"/>
  <c r="E57" i="40"/>
  <c r="E11" i="40" s="1"/>
  <c r="C23" i="79" s="1"/>
  <c r="C17" i="79" s="1"/>
  <c r="T226" i="40"/>
  <c r="L226" i="40"/>
  <c r="U226" i="40" s="1"/>
  <c r="S226" i="40"/>
  <c r="L12" i="40"/>
  <c r="U86" i="40"/>
  <c r="U259" i="40"/>
  <c r="I33" i="40"/>
  <c r="I8" i="40" s="1"/>
  <c r="I20" i="40" s="1"/>
  <c r="I32" i="40"/>
  <c r="K136" i="40"/>
  <c r="O136" i="40" s="1"/>
  <c r="D35" i="37"/>
  <c r="L267" i="40"/>
  <c r="J58" i="40"/>
  <c r="J18" i="40"/>
  <c r="R18" i="40" s="1"/>
  <c r="S29" i="40"/>
  <c r="S19" i="40"/>
  <c r="E18" i="30"/>
  <c r="E19" i="30" s="1"/>
  <c r="G137" i="40"/>
  <c r="G136" i="40" s="1"/>
  <c r="L137" i="40"/>
  <c r="U137" i="40" s="1"/>
  <c r="S38" i="16"/>
  <c r="H136" i="40"/>
  <c r="E39" i="2"/>
  <c r="T122" i="40"/>
  <c r="J19" i="10"/>
  <c r="K19" i="10" s="1"/>
  <c r="C17" i="3"/>
  <c r="K26" i="40"/>
  <c r="O26" i="40" s="1"/>
  <c r="P22" i="3"/>
  <c r="P27" i="3" s="1"/>
  <c r="L140" i="58" s="1"/>
  <c r="L24" i="40"/>
  <c r="L292" i="40"/>
  <c r="U292" i="40" s="1"/>
  <c r="F57" i="40"/>
  <c r="F34" i="40" s="1"/>
  <c r="T30" i="40"/>
  <c r="T137" i="40"/>
  <c r="K18" i="40"/>
  <c r="T18" i="40" s="1"/>
  <c r="T19" i="40"/>
  <c r="L296" i="40"/>
  <c r="U296" i="40" s="1"/>
  <c r="L30" i="40"/>
  <c r="L19" i="40" s="1"/>
  <c r="L18" i="40" s="1"/>
  <c r="L122" i="40"/>
  <c r="U122" i="40" s="1"/>
  <c r="E40" i="2"/>
  <c r="L25" i="40"/>
  <c r="M57" i="40"/>
  <c r="K30" i="11"/>
  <c r="K9" i="11" s="1"/>
  <c r="K8" i="11" s="1"/>
  <c r="L13" i="40"/>
  <c r="L22" i="40"/>
  <c r="L10" i="40"/>
  <c r="E9" i="33"/>
  <c r="K58" i="40"/>
  <c r="I39" i="11"/>
  <c r="I31" i="11" s="1"/>
  <c r="K296" i="40"/>
  <c r="O296" i="40" s="1"/>
  <c r="I69" i="12"/>
  <c r="I68" i="12" s="1"/>
  <c r="I67" i="12" s="1"/>
  <c r="I9" i="12" s="1"/>
  <c r="I8" i="12" s="1"/>
  <c r="H80" i="12"/>
  <c r="H79" i="12" s="1"/>
  <c r="H78" i="12" s="1"/>
  <c r="E25" i="41"/>
  <c r="G80" i="12"/>
  <c r="G79" i="12" s="1"/>
  <c r="G78" i="12" s="1"/>
  <c r="L16" i="40"/>
  <c r="J62" i="11"/>
  <c r="L27" i="40"/>
  <c r="J301" i="40" l="1"/>
  <c r="H302" i="40"/>
  <c r="P137" i="40"/>
  <c r="H13" i="10"/>
  <c r="F35" i="83"/>
  <c r="G35" i="83" s="1"/>
  <c r="D35" i="82"/>
  <c r="E35" i="82" s="1"/>
  <c r="T67" i="40"/>
  <c r="P57" i="40"/>
  <c r="M131" i="40"/>
  <c r="L12" i="10" s="1"/>
  <c r="P67" i="40"/>
  <c r="E131" i="40"/>
  <c r="E34" i="40"/>
  <c r="E23" i="40"/>
  <c r="C50" i="48" s="1"/>
  <c r="C53" i="48" s="1"/>
  <c r="E9" i="40"/>
  <c r="T136" i="40"/>
  <c r="U267" i="40"/>
  <c r="M34" i="40"/>
  <c r="F32" i="40"/>
  <c r="F33" i="40"/>
  <c r="M11" i="40"/>
  <c r="M9" i="40" s="1"/>
  <c r="D34" i="37"/>
  <c r="E35" i="37"/>
  <c r="L67" i="40"/>
  <c r="S18" i="40"/>
  <c r="S137" i="40"/>
  <c r="J57" i="40"/>
  <c r="I31" i="40"/>
  <c r="P136" i="40"/>
  <c r="L136" i="40"/>
  <c r="U136" i="40" s="1"/>
  <c r="E44" i="2"/>
  <c r="G44" i="2" s="1"/>
  <c r="E43" i="2"/>
  <c r="T66" i="40"/>
  <c r="H58" i="40"/>
  <c r="H57" i="40" s="1"/>
  <c r="O18" i="40"/>
  <c r="L26" i="40"/>
  <c r="L14" i="40"/>
  <c r="F131" i="40"/>
  <c r="F23" i="40"/>
  <c r="F11" i="40"/>
  <c r="L295" i="40"/>
  <c r="U295" i="40" s="1"/>
  <c r="L29" i="40"/>
  <c r="M23" i="40"/>
  <c r="M21" i="40" s="1"/>
  <c r="M20" i="40" s="1"/>
  <c r="L8" i="10" s="1"/>
  <c r="I30" i="11"/>
  <c r="I9" i="11" s="1"/>
  <c r="O58" i="40"/>
  <c r="K57" i="40"/>
  <c r="C11" i="3"/>
  <c r="L156" i="58"/>
  <c r="J39" i="11"/>
  <c r="J31" i="11" s="1"/>
  <c r="E17" i="41"/>
  <c r="C11" i="37"/>
  <c r="K295" i="40"/>
  <c r="O295" i="40" s="1"/>
  <c r="H301" i="40" l="1"/>
  <c r="J14" i="40"/>
  <c r="J294" i="40"/>
  <c r="R294" i="40" s="1"/>
  <c r="J297" i="40"/>
  <c r="D11" i="37"/>
  <c r="E11" i="37" s="1"/>
  <c r="F34" i="83"/>
  <c r="G34" i="83" s="1"/>
  <c r="D34" i="82"/>
  <c r="E34" i="82" s="1"/>
  <c r="K34" i="40"/>
  <c r="K32" i="40" s="1"/>
  <c r="C13" i="79"/>
  <c r="C18" i="48"/>
  <c r="C15" i="48" s="1"/>
  <c r="H34" i="40"/>
  <c r="S67" i="40"/>
  <c r="G66" i="40"/>
  <c r="G39" i="11" s="1"/>
  <c r="G31" i="11" s="1"/>
  <c r="G30" i="11" s="1"/>
  <c r="G9" i="11" s="1"/>
  <c r="E33" i="40"/>
  <c r="F10" i="10" s="1"/>
  <c r="E32" i="40"/>
  <c r="F12" i="10"/>
  <c r="E8" i="40"/>
  <c r="E21" i="40"/>
  <c r="S136" i="40"/>
  <c r="L66" i="40"/>
  <c r="U67" i="40"/>
  <c r="J34" i="40"/>
  <c r="M32" i="40"/>
  <c r="M33" i="40"/>
  <c r="L10" i="10" s="1"/>
  <c r="E34" i="37"/>
  <c r="D108" i="37"/>
  <c r="J23" i="40"/>
  <c r="J11" i="40"/>
  <c r="G43" i="2"/>
  <c r="H23" i="40"/>
  <c r="H11" i="40"/>
  <c r="T58" i="40"/>
  <c r="G12" i="10"/>
  <c r="F9" i="40"/>
  <c r="F21" i="40"/>
  <c r="O57" i="40"/>
  <c r="T57" i="40"/>
  <c r="J30" i="11"/>
  <c r="J9" i="11" s="1"/>
  <c r="J8" i="11" s="1"/>
  <c r="K23" i="40"/>
  <c r="O23" i="40" s="1"/>
  <c r="K11" i="40"/>
  <c r="O11" i="40" s="1"/>
  <c r="C9" i="37"/>
  <c r="F31" i="40"/>
  <c r="G10" i="10"/>
  <c r="D9" i="37" l="1"/>
  <c r="F9" i="83" s="1"/>
  <c r="G9" i="83" s="1"/>
  <c r="K135" i="40"/>
  <c r="J135" i="40" s="1"/>
  <c r="G135" i="40" s="1"/>
  <c r="G134" i="40" s="1"/>
  <c r="G133" i="40" s="1"/>
  <c r="G132" i="40" s="1"/>
  <c r="G91" i="11" s="1"/>
  <c r="G90" i="11" s="1"/>
  <c r="G89" i="11" s="1"/>
  <c r="G88" i="11" s="1"/>
  <c r="G8" i="11" s="1"/>
  <c r="E23" i="41"/>
  <c r="F11" i="83"/>
  <c r="G11" i="83" s="1"/>
  <c r="D11" i="82"/>
  <c r="E11" i="82" s="1"/>
  <c r="R297" i="40"/>
  <c r="J296" i="40"/>
  <c r="R14" i="40"/>
  <c r="J26" i="40"/>
  <c r="R26" i="40" s="1"/>
  <c r="D9" i="82"/>
  <c r="E9" i="82" s="1"/>
  <c r="F108" i="83"/>
  <c r="G108" i="83" s="1"/>
  <c r="J131" i="40" s="1"/>
  <c r="H131" i="40" s="1"/>
  <c r="I12" i="10" s="1"/>
  <c r="D108" i="82"/>
  <c r="E108" i="82" s="1"/>
  <c r="G131" i="40" s="1"/>
  <c r="H12" i="10" s="1"/>
  <c r="S66" i="40"/>
  <c r="P66" i="40"/>
  <c r="G58" i="40"/>
  <c r="E31" i="40"/>
  <c r="E20" i="40"/>
  <c r="J32" i="40"/>
  <c r="L58" i="40"/>
  <c r="U66" i="40"/>
  <c r="E108" i="37"/>
  <c r="K131" i="40" s="1"/>
  <c r="J12" i="10" s="1"/>
  <c r="J9" i="40"/>
  <c r="T34" i="40"/>
  <c r="O34" i="40"/>
  <c r="F8" i="40"/>
  <c r="F20" i="40"/>
  <c r="K21" i="40"/>
  <c r="O21" i="40" s="1"/>
  <c r="T23" i="40"/>
  <c r="T11" i="40"/>
  <c r="M8" i="40"/>
  <c r="C93" i="32" s="1"/>
  <c r="H294" i="40"/>
  <c r="T294" i="40" s="1"/>
  <c r="H297" i="40"/>
  <c r="H14" i="40"/>
  <c r="K9" i="40"/>
  <c r="O9" i="40" s="1"/>
  <c r="G297" i="40"/>
  <c r="G294" i="40"/>
  <c r="P294" i="40" s="1"/>
  <c r="G14" i="40"/>
  <c r="P14" i="40" s="1"/>
  <c r="O32" i="40"/>
  <c r="G9" i="10"/>
  <c r="H135" i="40" l="1"/>
  <c r="E9" i="37"/>
  <c r="L160" i="58" s="1"/>
  <c r="J21" i="40"/>
  <c r="K134" i="40"/>
  <c r="K133" i="40" s="1"/>
  <c r="J134" i="40"/>
  <c r="H134" i="40" s="1"/>
  <c r="R296" i="40"/>
  <c r="J295" i="40"/>
  <c r="R295" i="40" s="1"/>
  <c r="T297" i="40"/>
  <c r="H69" i="12"/>
  <c r="P297" i="40"/>
  <c r="G69" i="12"/>
  <c r="G68" i="12" s="1"/>
  <c r="G67" i="12" s="1"/>
  <c r="G9" i="12" s="1"/>
  <c r="G8" i="12" s="1"/>
  <c r="O131" i="40"/>
  <c r="K12" i="10"/>
  <c r="P58" i="40"/>
  <c r="G57" i="40"/>
  <c r="P131" i="40" s="1"/>
  <c r="S58" i="40"/>
  <c r="F9" i="10"/>
  <c r="F8" i="10"/>
  <c r="E97" i="11" s="1"/>
  <c r="E95" i="11" s="1"/>
  <c r="E310" i="40"/>
  <c r="E307" i="40" s="1"/>
  <c r="F37" i="10" s="1"/>
  <c r="S294" i="40"/>
  <c r="S297" i="40"/>
  <c r="L57" i="40"/>
  <c r="L131" i="40" s="1"/>
  <c r="U58" i="40"/>
  <c r="T14" i="40"/>
  <c r="H32" i="40"/>
  <c r="S14" i="40"/>
  <c r="M31" i="40"/>
  <c r="L9" i="10" s="1"/>
  <c r="F310" i="40"/>
  <c r="F307" i="40" s="1"/>
  <c r="G37" i="10" s="1"/>
  <c r="G8" i="10"/>
  <c r="G40" i="10" s="1"/>
  <c r="H26" i="40"/>
  <c r="H9" i="40"/>
  <c r="G26" i="40"/>
  <c r="P26" i="40" s="1"/>
  <c r="H296" i="40"/>
  <c r="T296" i="40" s="1"/>
  <c r="G296" i="40"/>
  <c r="P296" i="40" s="1"/>
  <c r="J133" i="40" l="1"/>
  <c r="J132" i="40" s="1"/>
  <c r="J15" i="40" s="1"/>
  <c r="S131" i="40"/>
  <c r="S57" i="40"/>
  <c r="G11" i="40"/>
  <c r="G34" i="40"/>
  <c r="G23" i="40"/>
  <c r="E308" i="40"/>
  <c r="F38" i="10" s="1"/>
  <c r="E94" i="11"/>
  <c r="S296" i="40"/>
  <c r="U135" i="40"/>
  <c r="U57" i="40"/>
  <c r="L23" i="40"/>
  <c r="L21" i="40" s="1"/>
  <c r="L34" i="40"/>
  <c r="L32" i="40" s="1"/>
  <c r="L11" i="40"/>
  <c r="L9" i="40" s="1"/>
  <c r="T131" i="40"/>
  <c r="S26" i="40"/>
  <c r="T32" i="40"/>
  <c r="T9" i="40"/>
  <c r="F97" i="11"/>
  <c r="F94" i="11" s="1"/>
  <c r="F308" i="40"/>
  <c r="G38" i="10" s="1"/>
  <c r="K132" i="40"/>
  <c r="K33" i="40" s="1"/>
  <c r="H21" i="40"/>
  <c r="T26" i="40"/>
  <c r="G295" i="40"/>
  <c r="P295" i="40" s="1"/>
  <c r="H295" i="40"/>
  <c r="T295" i="40" s="1"/>
  <c r="J69" i="12"/>
  <c r="J68" i="12" s="1"/>
  <c r="J67" i="12" s="1"/>
  <c r="J9" i="12" s="1"/>
  <c r="J8" i="12" s="1"/>
  <c r="H68" i="12"/>
  <c r="H67" i="12" s="1"/>
  <c r="H9" i="12" s="1"/>
  <c r="H8" i="12" s="1"/>
  <c r="H133" i="40" l="1"/>
  <c r="H132" i="40"/>
  <c r="H91" i="11" s="1"/>
  <c r="H90" i="11" s="1"/>
  <c r="H89" i="11" s="1"/>
  <c r="H88" i="11" s="1"/>
  <c r="H8" i="11" s="1"/>
  <c r="J33" i="40"/>
  <c r="J8" i="40" s="1"/>
  <c r="J20" i="40" s="1"/>
  <c r="P34" i="40"/>
  <c r="S34" i="40"/>
  <c r="G32" i="40"/>
  <c r="P11" i="40"/>
  <c r="S11" i="40"/>
  <c r="G9" i="40"/>
  <c r="P23" i="40"/>
  <c r="S23" i="40"/>
  <c r="G21" i="40"/>
  <c r="P21" i="40" s="1"/>
  <c r="S295" i="40"/>
  <c r="U131" i="40"/>
  <c r="U134" i="40"/>
  <c r="T21" i="40"/>
  <c r="F95" i="11"/>
  <c r="O33" i="40"/>
  <c r="K15" i="40"/>
  <c r="I91" i="11"/>
  <c r="I90" i="11" s="1"/>
  <c r="I89" i="11" s="1"/>
  <c r="I88" i="11" s="1"/>
  <c r="I8" i="11" s="1"/>
  <c r="J31" i="40" l="1"/>
  <c r="S21" i="40"/>
  <c r="P32" i="40"/>
  <c r="S32" i="40"/>
  <c r="P9" i="40"/>
  <c r="S9" i="40"/>
  <c r="U133" i="40"/>
  <c r="J10" i="10"/>
  <c r="K8" i="40"/>
  <c r="H33" i="40"/>
  <c r="I10" i="10" s="1"/>
  <c r="G33" i="40"/>
  <c r="K10" i="10" l="1"/>
  <c r="P33" i="40"/>
  <c r="H10" i="10"/>
  <c r="L33" i="40"/>
  <c r="U132" i="40"/>
  <c r="J91" i="11"/>
  <c r="J90" i="11" s="1"/>
  <c r="J89" i="11" s="1"/>
  <c r="J88" i="11" s="1"/>
  <c r="L15" i="40"/>
  <c r="I12" i="3"/>
  <c r="K310" i="40"/>
  <c r="K31" i="40"/>
  <c r="K20" i="40"/>
  <c r="O8" i="40"/>
  <c r="H15" i="40"/>
  <c r="G15" i="40"/>
  <c r="L8" i="40" l="1"/>
  <c r="S33" i="40"/>
  <c r="J9" i="10"/>
  <c r="O31" i="40"/>
  <c r="J8" i="10"/>
  <c r="O20" i="40"/>
  <c r="T33" i="40"/>
  <c r="K308" i="40"/>
  <c r="J38" i="10" s="1"/>
  <c r="M127" i="58" s="1"/>
  <c r="K307" i="40"/>
  <c r="J37" i="10" s="1"/>
  <c r="L127" i="58" s="1"/>
  <c r="C12" i="3"/>
  <c r="C13" i="3" s="1"/>
  <c r="C22" i="3" s="1"/>
  <c r="C27" i="3" s="1"/>
  <c r="I13" i="3"/>
  <c r="I22" i="3" s="1"/>
  <c r="I27" i="3" s="1"/>
  <c r="G8" i="40"/>
  <c r="P8" i="40" s="1"/>
  <c r="H8" i="40"/>
  <c r="I97" i="11" l="1"/>
  <c r="I94" i="11" s="1"/>
  <c r="L20" i="40"/>
  <c r="L31" i="40"/>
  <c r="S8" i="40"/>
  <c r="G25" i="8"/>
  <c r="C30" i="3"/>
  <c r="T8" i="40"/>
  <c r="I30" i="3"/>
  <c r="B17" i="46"/>
  <c r="B16" i="46" s="1"/>
  <c r="B101" i="46" s="1"/>
  <c r="H20" i="40"/>
  <c r="I8" i="10" s="1"/>
  <c r="K8" i="10" s="1"/>
  <c r="H31" i="40"/>
  <c r="I9" i="10" s="1"/>
  <c r="K9" i="10" s="1"/>
  <c r="G20" i="40"/>
  <c r="G31" i="40"/>
  <c r="B103" i="46"/>
  <c r="P31" i="40" l="1"/>
  <c r="H9" i="10"/>
  <c r="P20" i="40"/>
  <c r="H8" i="10"/>
  <c r="I95" i="11"/>
  <c r="S20" i="40"/>
  <c r="S31" i="40"/>
  <c r="B104" i="46"/>
  <c r="T31" i="40"/>
  <c r="T20" i="40"/>
  <c r="C21" i="48"/>
  <c r="K103" i="46"/>
  <c r="C137" i="40"/>
  <c r="R137" i="40" s="1"/>
  <c r="D16" i="10"/>
  <c r="C136" i="40" l="1"/>
  <c r="R136" i="40" s="1"/>
  <c r="C19" i="19"/>
  <c r="D50" i="20"/>
  <c r="D53" i="20" s="1"/>
  <c r="C23" i="49"/>
  <c r="C20" i="49" s="1"/>
  <c r="C17" i="49" s="1"/>
  <c r="C13" i="49" s="1"/>
  <c r="C67" i="40"/>
  <c r="R67" i="40" s="1"/>
  <c r="D13" i="10"/>
  <c r="C66" i="40" l="1"/>
  <c r="R66" i="40" s="1"/>
  <c r="C22" i="19"/>
  <c r="C9" i="19"/>
  <c r="C58" i="40" l="1"/>
  <c r="R58" i="40" s="1"/>
  <c r="C12" i="19"/>
  <c r="C39" i="11"/>
  <c r="C31" i="11" s="1"/>
  <c r="C57" i="40" l="1"/>
  <c r="C30" i="11"/>
  <c r="C9" i="11" s="1"/>
  <c r="C8" i="11" s="1"/>
  <c r="C34" i="40" l="1"/>
  <c r="C32" i="40" s="1"/>
  <c r="R32" i="40" s="1"/>
  <c r="R57" i="40"/>
  <c r="C23" i="40"/>
  <c r="C11" i="40"/>
  <c r="D11" i="10"/>
  <c r="C131" i="40"/>
  <c r="R131" i="40" s="1"/>
  <c r="R11" i="40" l="1"/>
  <c r="C22" i="79"/>
  <c r="C16" i="79" s="1"/>
  <c r="R23" i="40"/>
  <c r="C49" i="48"/>
  <c r="C52" i="48" s="1"/>
  <c r="R34" i="40"/>
  <c r="C9" i="40"/>
  <c r="R9" i="40" s="1"/>
  <c r="C33" i="40"/>
  <c r="R33" i="40" s="1"/>
  <c r="C21" i="40"/>
  <c r="R21" i="40" s="1"/>
  <c r="D12" i="10"/>
  <c r="C12" i="79" l="1"/>
  <c r="C17" i="48"/>
  <c r="C14" i="48" s="1"/>
  <c r="C31" i="40"/>
  <c r="R31" i="40" s="1"/>
  <c r="C20" i="40"/>
  <c r="R20" i="40" s="1"/>
  <c r="D10" i="10"/>
  <c r="C8" i="40"/>
  <c r="R8" i="40" s="1"/>
  <c r="D8" i="10" l="1"/>
  <c r="D9" i="10"/>
</calcChain>
</file>

<file path=xl/comments1.xml><?xml version="1.0" encoding="utf-8"?>
<comments xmlns="http://schemas.openxmlformats.org/spreadsheetml/2006/main">
  <authors>
    <author>Elisabeta BIRAU</author>
  </authors>
  <commentList>
    <comment ref="E35" authorId="0">
      <text>
        <r>
          <rPr>
            <b/>
            <sz val="9"/>
            <color indexed="81"/>
            <rFont val="Tahoma"/>
            <family val="2"/>
            <charset val="238"/>
          </rPr>
          <t>Elisabeta BIRAU:</t>
        </r>
        <r>
          <rPr>
            <sz val="9"/>
            <color indexed="81"/>
            <rFont val="Tahoma"/>
            <family val="2"/>
            <charset val="238"/>
          </rPr>
          <t xml:space="preserve">
CONSOLIDARE CONT 481.09.00</t>
        </r>
      </text>
    </comment>
    <comment ref="E67" authorId="0">
      <text>
        <r>
          <rPr>
            <b/>
            <sz val="9"/>
            <color indexed="81"/>
            <rFont val="Tahoma"/>
            <family val="2"/>
            <charset val="238"/>
          </rPr>
          <t>Elisabeta BIRAU:</t>
        </r>
        <r>
          <rPr>
            <sz val="9"/>
            <color indexed="81"/>
            <rFont val="Tahoma"/>
            <family val="2"/>
            <charset val="238"/>
          </rPr>
          <t xml:space="preserve">
CONSOLIDARE CONT 481.09.00</t>
        </r>
      </text>
    </comment>
  </commentList>
</comments>
</file>

<file path=xl/comments10.xml><?xml version="1.0" encoding="utf-8"?>
<comments xmlns="http://schemas.openxmlformats.org/spreadsheetml/2006/main">
  <authors>
    <author>Elisabeta BIRAU</author>
  </authors>
  <commentList>
    <comment ref="J9" authorId="0">
      <text>
        <r>
          <rPr>
            <b/>
            <sz val="9"/>
            <color indexed="81"/>
            <rFont val="Tahoma"/>
            <family val="2"/>
            <charset val="238"/>
          </rPr>
          <t>Elisabeta BIRAU:</t>
        </r>
        <r>
          <rPr>
            <sz val="9"/>
            <color indexed="81"/>
            <rFont val="Tahoma"/>
            <family val="2"/>
            <charset val="238"/>
          </rPr>
          <t xml:space="preserve">
VALABIL 31 DEC 2021</t>
        </r>
      </text>
    </comment>
    <comment ref="G10" authorId="0">
      <text>
        <r>
          <rPr>
            <b/>
            <sz val="9"/>
            <color indexed="81"/>
            <rFont val="Tahoma"/>
            <family val="2"/>
            <charset val="238"/>
          </rPr>
          <t>Elisabeta BIRAU:
C/V FORMULARE PRIMITE DE LA CNAS IN PERIOADA DE RAPORTARE</t>
        </r>
      </text>
    </comment>
    <comment ref="G12" authorId="0">
      <text>
        <r>
          <rPr>
            <b/>
            <sz val="9"/>
            <color indexed="81"/>
            <rFont val="Tahoma"/>
            <family val="2"/>
            <charset val="238"/>
          </rPr>
          <t>Elisabeta BIRAU:</t>
        </r>
        <r>
          <rPr>
            <sz val="9"/>
            <color indexed="81"/>
            <rFont val="Tahoma"/>
            <family val="2"/>
            <charset val="238"/>
          </rPr>
          <t xml:space="preserve">
NU SE OMPLETEAZA</t>
        </r>
      </text>
    </comment>
    <comment ref="G13" authorId="0">
      <text>
        <r>
          <rPr>
            <b/>
            <sz val="9"/>
            <color indexed="81"/>
            <rFont val="Tahoma"/>
            <family val="2"/>
            <charset val="238"/>
          </rPr>
          <t>Elisabeta BIRAU:</t>
        </r>
        <r>
          <rPr>
            <sz val="9"/>
            <color indexed="81"/>
            <rFont val="Tahoma"/>
            <family val="2"/>
            <charset val="238"/>
          </rPr>
          <t xml:space="preserve">
STORNAREA FORMULARELOR INREGISTRATE GRESIT</t>
        </r>
      </text>
    </comment>
    <comment ref="G14" authorId="0">
      <text>
        <r>
          <rPr>
            <b/>
            <sz val="9"/>
            <color indexed="81"/>
            <rFont val="Tahoma"/>
            <family val="2"/>
            <charset val="238"/>
          </rPr>
          <t>Elisabeta BIRAU:</t>
        </r>
        <r>
          <rPr>
            <sz val="9"/>
            <color indexed="81"/>
            <rFont val="Tahoma"/>
            <family val="2"/>
            <charset val="238"/>
          </rPr>
          <t xml:space="preserve">
FORMULARELE SCAZUTE DIN PROVIZIOANE SI INREGISTRATE PE CHELTUIALA IN LIMITA BUGETULUI ALOCAT</t>
        </r>
      </text>
    </comment>
  </commentList>
</comments>
</file>

<file path=xl/comments11.xml><?xml version="1.0" encoding="utf-8"?>
<comments xmlns="http://schemas.openxmlformats.org/spreadsheetml/2006/main">
  <authors>
    <author/>
  </authors>
  <commentList>
    <comment ref="C29" authorId="0">
      <text>
        <r>
          <rPr>
            <b/>
            <sz val="9"/>
            <color indexed="8"/>
            <rFont val="Tahoma"/>
            <family val="2"/>
          </rPr>
          <t xml:space="preserve">Elisabeta BIRAU:
</t>
        </r>
        <r>
          <rPr>
            <sz val="9"/>
            <color indexed="8"/>
            <rFont val="Tahoma"/>
            <family val="2"/>
          </rPr>
          <t>VALABIL NUMAI LA DEC</t>
        </r>
      </text>
    </comment>
  </commentList>
</comments>
</file>

<file path=xl/comments12.xml><?xml version="1.0" encoding="utf-8"?>
<comments xmlns="http://schemas.openxmlformats.org/spreadsheetml/2006/main">
  <authors>
    <author/>
  </authors>
  <commentList>
    <comment ref="E29" authorId="0">
      <text>
        <r>
          <rPr>
            <b/>
            <sz val="9"/>
            <color indexed="8"/>
            <rFont val="Tahoma"/>
            <family val="2"/>
          </rPr>
          <t xml:space="preserve">Elisabeta BIRAU:
</t>
        </r>
        <r>
          <rPr>
            <sz val="9"/>
            <color indexed="8"/>
            <rFont val="Tahoma"/>
            <family val="2"/>
          </rPr>
          <t>valabil dec</t>
        </r>
      </text>
    </comment>
  </commentList>
</comments>
</file>

<file path=xl/comments13.xml><?xml version="1.0" encoding="utf-8"?>
<comments xmlns="http://schemas.openxmlformats.org/spreadsheetml/2006/main">
  <authors>
    <author>Elisabeta BIRAU</author>
  </authors>
  <commentList>
    <comment ref="U35" authorId="0">
      <text>
        <r>
          <rPr>
            <b/>
            <sz val="9"/>
            <color indexed="81"/>
            <rFont val="Tahoma"/>
            <family val="2"/>
            <charset val="238"/>
          </rPr>
          <t>Elisabeta BIRAU:</t>
        </r>
        <r>
          <rPr>
            <sz val="9"/>
            <color indexed="81"/>
            <rFont val="Tahoma"/>
            <family val="2"/>
            <charset val="238"/>
          </rPr>
          <t xml:space="preserve">
VALABIL DOAR LA SFARSIT DE AN</t>
        </r>
      </text>
    </comment>
  </commentList>
</comments>
</file>

<file path=xl/comments14.xml><?xml version="1.0" encoding="utf-8"?>
<comments xmlns="http://schemas.openxmlformats.org/spreadsheetml/2006/main">
  <authors>
    <author>Elisabeta BIRAU</author>
  </authors>
  <commentList>
    <comment ref="L24" authorId="0">
      <text>
        <r>
          <rPr>
            <b/>
            <sz val="9"/>
            <color indexed="81"/>
            <rFont val="Tahoma"/>
            <family val="2"/>
            <charset val="238"/>
          </rPr>
          <t>Elisabeta BIRAU:</t>
        </r>
        <r>
          <rPr>
            <sz val="9"/>
            <color indexed="81"/>
            <rFont val="Tahoma"/>
            <family val="2"/>
            <charset val="238"/>
          </rPr>
          <t xml:space="preserve">
PT BILANT TRIM I DE STERS 3361 C/V BILET AVION</t>
        </r>
      </text>
    </comment>
  </commentList>
</comments>
</file>

<file path=xl/comments2.xml><?xml version="1.0" encoding="utf-8"?>
<comments xmlns="http://schemas.openxmlformats.org/spreadsheetml/2006/main">
  <authors>
    <author/>
  </authors>
  <commentList>
    <comment ref="F43" authorId="0">
      <text>
        <r>
          <rPr>
            <b/>
            <sz val="9"/>
            <color indexed="8"/>
            <rFont val="Tahoma"/>
            <family val="2"/>
          </rPr>
          <t xml:space="preserve">Elisabeta BIRAU:
</t>
        </r>
        <r>
          <rPr>
            <sz val="9"/>
            <color indexed="8"/>
            <rFont val="Tahoma"/>
            <family val="2"/>
          </rPr>
          <t>doar la sf an</t>
        </r>
      </text>
    </comment>
    <comment ref="F44" authorId="0">
      <text>
        <r>
          <rPr>
            <b/>
            <sz val="9"/>
            <color indexed="8"/>
            <rFont val="Tahoma"/>
            <family val="2"/>
          </rPr>
          <t xml:space="preserve">Elisabeta BIRAU:
</t>
        </r>
        <r>
          <rPr>
            <sz val="9"/>
            <color indexed="8"/>
            <rFont val="Tahoma"/>
            <family val="2"/>
          </rPr>
          <t>doar la sf an</t>
        </r>
      </text>
    </comment>
  </commentList>
</comments>
</file>

<file path=xl/comments3.xml><?xml version="1.0" encoding="utf-8"?>
<comments xmlns="http://schemas.openxmlformats.org/spreadsheetml/2006/main">
  <authors>
    <author/>
  </authors>
  <commentList>
    <comment ref="C30" authorId="0">
      <text>
        <r>
          <rPr>
            <b/>
            <sz val="9"/>
            <color indexed="8"/>
            <rFont val="Tahoma"/>
            <family val="2"/>
            <charset val="238"/>
          </rPr>
          <t xml:space="preserve">Elisabeta BIRAU:
la trimestru 
</t>
        </r>
        <r>
          <rPr>
            <sz val="9"/>
            <color indexed="8"/>
            <rFont val="Tahoma"/>
            <family val="2"/>
            <charset val="238"/>
          </rPr>
          <t>anexa 1 E43 cu c27</t>
        </r>
        <r>
          <rPr>
            <b/>
            <sz val="9"/>
            <color indexed="8"/>
            <rFont val="Tahoma"/>
            <family val="2"/>
            <charset val="238"/>
          </rPr>
          <t xml:space="preserve">
la sfarsit de an</t>
        </r>
        <r>
          <rPr>
            <sz val="9"/>
            <color indexed="8"/>
            <rFont val="Tahoma"/>
            <family val="2"/>
            <charset val="238"/>
          </rPr>
          <t xml:space="preserve">
CJAS : ANEXA 1 E 43 CU C27 - I 22
BILANT CENTRALIZAT 
anexa 1 E43 cu c27</t>
        </r>
      </text>
    </comment>
  </commentList>
</comments>
</file>

<file path=xl/comments4.xml><?xml version="1.0" encoding="utf-8"?>
<comments xmlns="http://schemas.openxmlformats.org/spreadsheetml/2006/main">
  <authors>
    <author/>
  </authors>
  <commentList>
    <comment ref="M7" authorId="0">
      <text>
        <r>
          <rPr>
            <b/>
            <sz val="8"/>
            <color indexed="8"/>
            <rFont val="Tahoma"/>
            <family val="2"/>
            <charset val="238"/>
          </rPr>
          <t xml:space="preserve">User:
</t>
        </r>
      </text>
    </comment>
    <comment ref="N7" authorId="0">
      <text>
        <r>
          <rPr>
            <b/>
            <sz val="8"/>
            <color indexed="8"/>
            <rFont val="Tahoma"/>
            <family val="2"/>
            <charset val="238"/>
          </rPr>
          <t xml:space="preserve">User:
</t>
        </r>
      </text>
    </comment>
  </commentList>
</comments>
</file>

<file path=xl/comments5.xml><?xml version="1.0" encoding="utf-8"?>
<comments xmlns="http://schemas.openxmlformats.org/spreadsheetml/2006/main">
  <authors>
    <author/>
    <author>Elisabeta BIRAU</author>
  </authors>
  <commentList>
    <comment ref="G25" authorId="0">
      <text>
        <r>
          <rPr>
            <b/>
            <sz val="9"/>
            <color indexed="8"/>
            <rFont val="Tahoma"/>
            <family val="2"/>
            <charset val="238"/>
          </rPr>
          <t xml:space="preserve">Elisabeta BIRAU:
CJAS:
</t>
        </r>
        <r>
          <rPr>
            <sz val="9"/>
            <color indexed="8"/>
            <rFont val="Tahoma"/>
            <family val="2"/>
            <charset val="238"/>
          </rPr>
          <t>LA TRIM C27
LA SF AN  Q27
BIL CENTRALIZAT C27</t>
        </r>
      </text>
    </comment>
    <comment ref="G232" authorId="1">
      <text>
        <r>
          <rPr>
            <b/>
            <sz val="9"/>
            <color indexed="81"/>
            <rFont val="Tahoma"/>
            <family val="2"/>
            <charset val="238"/>
          </rPr>
          <t>Elisabeta BIRAU:</t>
        </r>
        <r>
          <rPr>
            <sz val="9"/>
            <color indexed="81"/>
            <rFont val="Tahoma"/>
            <family val="2"/>
            <charset val="238"/>
          </rPr>
          <t xml:space="preserve">
NU SE APLICA LA AOPSNAJ</t>
        </r>
      </text>
    </comment>
  </commentList>
</comments>
</file>

<file path=xl/comments6.xml><?xml version="1.0" encoding="utf-8"?>
<comments xmlns="http://schemas.openxmlformats.org/spreadsheetml/2006/main">
  <authors>
    <author>Elisabeta BIRAU</author>
  </authors>
  <commentList>
    <comment ref="C28" authorId="0">
      <text>
        <r>
          <rPr>
            <b/>
            <sz val="9"/>
            <color indexed="81"/>
            <rFont val="Tahoma"/>
            <family val="2"/>
            <charset val="238"/>
          </rPr>
          <t>Elisabeta BIRAU:</t>
        </r>
        <r>
          <rPr>
            <sz val="9"/>
            <color indexed="81"/>
            <rFont val="Tahoma"/>
            <family val="2"/>
            <charset val="238"/>
          </rPr>
          <t xml:space="preserve">
BENEFICIARI AI SERVICIILOR</t>
        </r>
      </text>
    </comment>
  </commentList>
</comments>
</file>

<file path=xl/comments7.xml><?xml version="1.0" encoding="utf-8"?>
<comments xmlns="http://schemas.openxmlformats.org/spreadsheetml/2006/main">
  <authors>
    <author/>
  </authors>
  <commentList>
    <comment ref="B18" authorId="0">
      <text>
        <r>
          <rPr>
            <b/>
            <sz val="9"/>
            <color indexed="8"/>
            <rFont val="Tahoma"/>
            <family val="2"/>
          </rPr>
          <t xml:space="preserve">Elisabeta BIRAU:
</t>
        </r>
        <r>
          <rPr>
            <sz val="9"/>
            <color indexed="8"/>
            <rFont val="Tahoma"/>
            <family val="2"/>
          </rPr>
          <t>valabil dec</t>
        </r>
      </text>
    </comment>
    <comment ref="C18" authorId="0">
      <text>
        <r>
          <rPr>
            <b/>
            <sz val="9"/>
            <color indexed="8"/>
            <rFont val="Tahoma"/>
            <family val="2"/>
          </rPr>
          <t xml:space="preserve">Elisabeta BIRAU:
</t>
        </r>
        <r>
          <rPr>
            <sz val="9"/>
            <color indexed="8"/>
            <rFont val="Tahoma"/>
            <family val="2"/>
          </rPr>
          <t>valabil dec</t>
        </r>
      </text>
    </comment>
    <comment ref="D18" authorId="0">
      <text>
        <r>
          <rPr>
            <b/>
            <sz val="9"/>
            <color indexed="8"/>
            <rFont val="Tahoma"/>
            <family val="2"/>
          </rPr>
          <t xml:space="preserve">Elisabeta BIRAU:
</t>
        </r>
        <r>
          <rPr>
            <sz val="9"/>
            <color indexed="8"/>
            <rFont val="Tahoma"/>
            <family val="2"/>
          </rPr>
          <t>valabil dec</t>
        </r>
      </text>
    </comment>
    <comment ref="E18" authorId="0">
      <text>
        <r>
          <rPr>
            <b/>
            <sz val="9"/>
            <color indexed="8"/>
            <rFont val="Tahoma"/>
            <family val="2"/>
          </rPr>
          <t xml:space="preserve">Elisabeta BIRAU:
</t>
        </r>
        <r>
          <rPr>
            <sz val="9"/>
            <color indexed="8"/>
            <rFont val="Tahoma"/>
            <family val="2"/>
          </rPr>
          <t>valabil dec</t>
        </r>
      </text>
    </comment>
    <comment ref="F18" authorId="0">
      <text>
        <r>
          <rPr>
            <b/>
            <sz val="9"/>
            <color indexed="8"/>
            <rFont val="Tahoma"/>
            <family val="2"/>
          </rPr>
          <t xml:space="preserve">Elisabeta BIRAU:
</t>
        </r>
        <r>
          <rPr>
            <sz val="9"/>
            <color indexed="8"/>
            <rFont val="Tahoma"/>
            <family val="2"/>
          </rPr>
          <t>valabil dec</t>
        </r>
      </text>
    </comment>
    <comment ref="G18" authorId="0">
      <text>
        <r>
          <rPr>
            <b/>
            <sz val="9"/>
            <color indexed="8"/>
            <rFont val="Tahoma"/>
            <family val="2"/>
          </rPr>
          <t xml:space="preserve">Elisabeta BIRAU:
</t>
        </r>
        <r>
          <rPr>
            <sz val="9"/>
            <color indexed="8"/>
            <rFont val="Tahoma"/>
            <family val="2"/>
          </rPr>
          <t>valabil dec</t>
        </r>
      </text>
    </comment>
    <comment ref="H18" authorId="0">
      <text>
        <r>
          <rPr>
            <b/>
            <sz val="9"/>
            <color indexed="8"/>
            <rFont val="Tahoma"/>
            <family val="2"/>
          </rPr>
          <t xml:space="preserve">Elisabeta BIRAU:
</t>
        </r>
        <r>
          <rPr>
            <sz val="9"/>
            <color indexed="8"/>
            <rFont val="Tahoma"/>
            <family val="2"/>
          </rPr>
          <t>valabil dec</t>
        </r>
      </text>
    </comment>
    <comment ref="I18" authorId="0">
      <text>
        <r>
          <rPr>
            <b/>
            <sz val="9"/>
            <color indexed="8"/>
            <rFont val="Tahoma"/>
            <family val="2"/>
          </rPr>
          <t xml:space="preserve">Elisabeta BIRAU:
</t>
        </r>
        <r>
          <rPr>
            <sz val="9"/>
            <color indexed="8"/>
            <rFont val="Tahoma"/>
            <family val="2"/>
          </rPr>
          <t>valabil dec</t>
        </r>
      </text>
    </comment>
    <comment ref="B19" authorId="0">
      <text>
        <r>
          <rPr>
            <b/>
            <sz val="9"/>
            <color indexed="8"/>
            <rFont val="Tahoma"/>
            <family val="2"/>
          </rPr>
          <t xml:space="preserve">Elisabeta BIRAU:
</t>
        </r>
        <r>
          <rPr>
            <sz val="9"/>
            <color indexed="8"/>
            <rFont val="Tahoma"/>
            <family val="2"/>
          </rPr>
          <t>valabil dec</t>
        </r>
      </text>
    </comment>
    <comment ref="C19" authorId="0">
      <text>
        <r>
          <rPr>
            <b/>
            <sz val="9"/>
            <color indexed="8"/>
            <rFont val="Tahoma"/>
            <family val="2"/>
          </rPr>
          <t xml:space="preserve">Elisabeta BIRAU:
</t>
        </r>
        <r>
          <rPr>
            <sz val="9"/>
            <color indexed="8"/>
            <rFont val="Tahoma"/>
            <family val="2"/>
          </rPr>
          <t>valabil dec</t>
        </r>
      </text>
    </comment>
    <comment ref="D19" authorId="0">
      <text>
        <r>
          <rPr>
            <b/>
            <sz val="9"/>
            <color indexed="8"/>
            <rFont val="Tahoma"/>
            <family val="2"/>
          </rPr>
          <t xml:space="preserve">Elisabeta BIRAU:
</t>
        </r>
        <r>
          <rPr>
            <sz val="9"/>
            <color indexed="8"/>
            <rFont val="Tahoma"/>
            <family val="2"/>
          </rPr>
          <t>valabil dec</t>
        </r>
      </text>
    </comment>
    <comment ref="E19" authorId="0">
      <text>
        <r>
          <rPr>
            <b/>
            <sz val="9"/>
            <color indexed="8"/>
            <rFont val="Tahoma"/>
            <family val="2"/>
          </rPr>
          <t xml:space="preserve">Elisabeta BIRAU:
</t>
        </r>
        <r>
          <rPr>
            <sz val="9"/>
            <color indexed="8"/>
            <rFont val="Tahoma"/>
            <family val="2"/>
          </rPr>
          <t>valabil dec</t>
        </r>
      </text>
    </comment>
    <comment ref="F19" authorId="0">
      <text>
        <r>
          <rPr>
            <b/>
            <sz val="9"/>
            <color indexed="8"/>
            <rFont val="Tahoma"/>
            <family val="2"/>
          </rPr>
          <t xml:space="preserve">Elisabeta BIRAU:
</t>
        </r>
        <r>
          <rPr>
            <sz val="9"/>
            <color indexed="8"/>
            <rFont val="Tahoma"/>
            <family val="2"/>
          </rPr>
          <t>valabil dec</t>
        </r>
      </text>
    </comment>
    <comment ref="G19" authorId="0">
      <text>
        <r>
          <rPr>
            <b/>
            <sz val="9"/>
            <color indexed="8"/>
            <rFont val="Tahoma"/>
            <family val="2"/>
          </rPr>
          <t xml:space="preserve">Elisabeta BIRAU:
</t>
        </r>
        <r>
          <rPr>
            <sz val="9"/>
            <color indexed="8"/>
            <rFont val="Tahoma"/>
            <family val="2"/>
          </rPr>
          <t>valabil dec</t>
        </r>
      </text>
    </comment>
    <comment ref="H19" authorId="0">
      <text>
        <r>
          <rPr>
            <b/>
            <sz val="9"/>
            <color indexed="8"/>
            <rFont val="Tahoma"/>
            <family val="2"/>
          </rPr>
          <t xml:space="preserve">Elisabeta BIRAU:
</t>
        </r>
        <r>
          <rPr>
            <sz val="9"/>
            <color indexed="8"/>
            <rFont val="Tahoma"/>
            <family val="2"/>
          </rPr>
          <t>valabil dec</t>
        </r>
      </text>
    </comment>
    <comment ref="I19" authorId="0">
      <text>
        <r>
          <rPr>
            <b/>
            <sz val="9"/>
            <color indexed="8"/>
            <rFont val="Tahoma"/>
            <family val="2"/>
          </rPr>
          <t xml:space="preserve">Elisabeta BIRAU:
</t>
        </r>
        <r>
          <rPr>
            <sz val="9"/>
            <color indexed="8"/>
            <rFont val="Tahoma"/>
            <family val="2"/>
          </rPr>
          <t>valabil dec</t>
        </r>
      </text>
    </comment>
  </commentList>
</comments>
</file>

<file path=xl/comments8.xml><?xml version="1.0" encoding="utf-8"?>
<comments xmlns="http://schemas.openxmlformats.org/spreadsheetml/2006/main">
  <authors>
    <author>Elisabeta BIRAU</author>
    <author>CNAS</author>
  </authors>
  <commentList>
    <comment ref="F18" authorId="0">
      <text>
        <r>
          <rPr>
            <b/>
            <sz val="9"/>
            <color indexed="81"/>
            <rFont val="Tahoma"/>
            <family val="2"/>
            <charset val="238"/>
          </rPr>
          <t>Elisabeta BIRAU:</t>
        </r>
        <r>
          <rPr>
            <sz val="9"/>
            <color indexed="81"/>
            <rFont val="Tahoma"/>
            <family val="2"/>
            <charset val="238"/>
          </rPr>
          <t xml:space="preserve">
la decembrie nu prezinta sold</t>
        </r>
      </text>
    </comment>
    <comment ref="F19" authorId="0">
      <text>
        <r>
          <rPr>
            <b/>
            <sz val="9"/>
            <color indexed="81"/>
            <rFont val="Tahoma"/>
            <family val="2"/>
            <charset val="238"/>
          </rPr>
          <t>Elisabeta BIRAU:</t>
        </r>
        <r>
          <rPr>
            <sz val="9"/>
            <color indexed="81"/>
            <rFont val="Tahoma"/>
            <family val="2"/>
            <charset val="238"/>
          </rPr>
          <t xml:space="preserve">
la decembrie nu prezinta sold</t>
        </r>
      </text>
    </comment>
    <comment ref="F20" authorId="0">
      <text>
        <r>
          <rPr>
            <b/>
            <sz val="9"/>
            <color indexed="81"/>
            <rFont val="Tahoma"/>
            <family val="2"/>
            <charset val="238"/>
          </rPr>
          <t>Elisabeta BIRAU:</t>
        </r>
        <r>
          <rPr>
            <sz val="9"/>
            <color indexed="81"/>
            <rFont val="Tahoma"/>
            <family val="2"/>
            <charset val="238"/>
          </rPr>
          <t xml:space="preserve">
la decembrie nu prezinta sold</t>
        </r>
      </text>
    </comment>
    <comment ref="A115" authorId="1">
      <text>
        <r>
          <rPr>
            <b/>
            <sz val="9"/>
            <color indexed="81"/>
            <rFont val="Tahoma"/>
            <family val="2"/>
            <charset val="238"/>
          </rPr>
          <t>CNAS:</t>
        </r>
        <r>
          <rPr>
            <sz val="9"/>
            <color indexed="81"/>
            <rFont val="Tahoma"/>
            <family val="2"/>
            <charset val="238"/>
          </rPr>
          <t xml:space="preserve">
</t>
        </r>
      </text>
    </comment>
    <comment ref="D125" authorId="0">
      <text>
        <r>
          <rPr>
            <b/>
            <sz val="9"/>
            <color indexed="81"/>
            <rFont val="Tahoma"/>
            <family val="2"/>
            <charset val="238"/>
          </rPr>
          <t>Elisabeta BIRAU:</t>
        </r>
        <r>
          <rPr>
            <sz val="9"/>
            <color indexed="81"/>
            <rFont val="Tahoma"/>
            <family val="2"/>
            <charset val="238"/>
          </rPr>
          <t xml:space="preserve">
CONSOLIDARE</t>
        </r>
      </text>
    </comment>
    <comment ref="F125" authorId="0">
      <text>
        <r>
          <rPr>
            <b/>
            <sz val="9"/>
            <color indexed="81"/>
            <rFont val="Tahoma"/>
            <family val="2"/>
            <charset val="238"/>
          </rPr>
          <t>Elisabeta BIRAU:</t>
        </r>
        <r>
          <rPr>
            <sz val="9"/>
            <color indexed="81"/>
            <rFont val="Tahoma"/>
            <family val="2"/>
            <charset val="238"/>
          </rPr>
          <t xml:space="preserve">
CONSOLIDARE</t>
        </r>
      </text>
    </comment>
    <comment ref="D127" authorId="0">
      <text>
        <r>
          <rPr>
            <b/>
            <sz val="9"/>
            <color indexed="81"/>
            <rFont val="Tahoma"/>
            <family val="2"/>
            <charset val="238"/>
          </rPr>
          <t>Elisabeta BIRAU:</t>
        </r>
        <r>
          <rPr>
            <sz val="9"/>
            <color indexed="81"/>
            <rFont val="Tahoma"/>
            <family val="2"/>
            <charset val="238"/>
          </rPr>
          <t xml:space="preserve">
in cursul anului nu prezinta sold</t>
        </r>
      </text>
    </comment>
    <comment ref="E127" authorId="0">
      <text>
        <r>
          <rPr>
            <b/>
            <sz val="9"/>
            <color indexed="81"/>
            <rFont val="Tahoma"/>
            <family val="2"/>
            <charset val="238"/>
          </rPr>
          <t>Elisabeta BIRAU:</t>
        </r>
        <r>
          <rPr>
            <sz val="9"/>
            <color indexed="81"/>
            <rFont val="Tahoma"/>
            <family val="2"/>
            <charset val="238"/>
          </rPr>
          <t xml:space="preserve">
in cursul anului nu prezinta sold</t>
        </r>
      </text>
    </comment>
    <comment ref="F127" authorId="0">
      <text>
        <r>
          <rPr>
            <b/>
            <sz val="9"/>
            <color indexed="81"/>
            <rFont val="Tahoma"/>
            <family val="2"/>
            <charset val="238"/>
          </rPr>
          <t>Elisabeta BIRAU:</t>
        </r>
        <r>
          <rPr>
            <sz val="9"/>
            <color indexed="81"/>
            <rFont val="Tahoma"/>
            <family val="2"/>
            <charset val="238"/>
          </rPr>
          <t xml:space="preserve">
in cursul anului nu prezinta sold</t>
        </r>
      </text>
    </comment>
    <comment ref="L127" authorId="1">
      <text>
        <r>
          <rPr>
            <b/>
            <sz val="9"/>
            <color indexed="81"/>
            <rFont val="Tahoma"/>
            <family val="2"/>
          </rPr>
          <t>CNAS:</t>
        </r>
        <r>
          <rPr>
            <sz val="9"/>
            <color indexed="81"/>
            <rFont val="Tahoma"/>
            <family val="2"/>
          </rPr>
          <t xml:space="preserve">
DOAR LA SF DE AN</t>
        </r>
      </text>
    </comment>
    <comment ref="M127" authorId="1">
      <text>
        <r>
          <rPr>
            <b/>
            <sz val="9"/>
            <color indexed="81"/>
            <rFont val="Tahoma"/>
            <family val="2"/>
          </rPr>
          <t>CNAS:</t>
        </r>
        <r>
          <rPr>
            <sz val="9"/>
            <color indexed="81"/>
            <rFont val="Tahoma"/>
            <family val="2"/>
          </rPr>
          <t xml:space="preserve">
DOAR LA SF DE AN</t>
        </r>
      </text>
    </comment>
    <comment ref="L156" authorId="0">
      <text>
        <r>
          <rPr>
            <b/>
            <sz val="9"/>
            <color indexed="81"/>
            <rFont val="Tahoma"/>
            <family val="2"/>
            <charset val="238"/>
          </rPr>
          <t>Elisabeta BIRAU:</t>
        </r>
        <r>
          <rPr>
            <sz val="9"/>
            <color indexed="81"/>
            <rFont val="Tahoma"/>
            <family val="2"/>
            <charset val="238"/>
          </rPr>
          <t xml:space="preserve">
doar la trimestru
la final de an nu este valabil</t>
        </r>
      </text>
    </comment>
    <comment ref="F160" authorId="0">
      <text>
        <r>
          <rPr>
            <b/>
            <sz val="9"/>
            <color indexed="81"/>
            <rFont val="Tahoma"/>
            <family val="2"/>
            <charset val="238"/>
          </rPr>
          <t>Elisabeta BIRAU:</t>
        </r>
        <r>
          <rPr>
            <sz val="9"/>
            <color indexed="81"/>
            <rFont val="Tahoma"/>
            <family val="2"/>
            <charset val="238"/>
          </rPr>
          <t xml:space="preserve">
0 la sfarsit de an 
celula blocata doar la an</t>
        </r>
      </text>
    </comment>
    <comment ref="L160" authorId="0">
      <text>
        <r>
          <rPr>
            <b/>
            <sz val="9"/>
            <color indexed="81"/>
            <rFont val="Tahoma"/>
            <family val="2"/>
            <charset val="238"/>
          </rPr>
          <t>Elisabeta BIRAU:</t>
        </r>
        <r>
          <rPr>
            <sz val="9"/>
            <color indexed="81"/>
            <rFont val="Tahoma"/>
            <family val="2"/>
            <charset val="238"/>
          </rPr>
          <t xml:space="preserve">
doar trimestrial
la final de an nu este valabil</t>
        </r>
      </text>
    </comment>
  </commentList>
</comments>
</file>

<file path=xl/comments9.xml><?xml version="1.0" encoding="utf-8"?>
<comments xmlns="http://schemas.openxmlformats.org/spreadsheetml/2006/main">
  <authors>
    <author>Elisabeta BIRAU</author>
  </authors>
  <commentList>
    <comment ref="C59" authorId="0">
      <text>
        <r>
          <rPr>
            <b/>
            <sz val="9"/>
            <color indexed="81"/>
            <rFont val="Tahoma"/>
            <family val="2"/>
            <charset val="238"/>
          </rPr>
          <t>Elisabeta BIRAU:</t>
        </r>
        <r>
          <rPr>
            <sz val="9"/>
            <color indexed="81"/>
            <rFont val="Tahoma"/>
            <family val="2"/>
            <charset val="238"/>
          </rPr>
          <t xml:space="preserve">
PT BILANT TRIM 1 DE SCOS 238</t>
        </r>
      </text>
    </comment>
    <comment ref="C66" authorId="0">
      <text>
        <r>
          <rPr>
            <b/>
            <sz val="9"/>
            <color indexed="81"/>
            <rFont val="Tahoma"/>
            <family val="2"/>
            <charset val="238"/>
          </rPr>
          <t>Elisabeta BIRAU:</t>
        </r>
        <r>
          <rPr>
            <sz val="9"/>
            <color indexed="81"/>
            <rFont val="Tahoma"/>
            <family val="2"/>
            <charset val="238"/>
          </rPr>
          <t xml:space="preserve">
PT BILANT TRIM I DE SCOS 238</t>
        </r>
      </text>
    </comment>
  </commentList>
</comments>
</file>

<file path=xl/sharedStrings.xml><?xml version="1.0" encoding="utf-8"?>
<sst xmlns="http://schemas.openxmlformats.org/spreadsheetml/2006/main" count="6355" uniqueCount="2652">
  <si>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</si>
  <si>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</si>
  <si>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</si>
  <si>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</si>
  <si>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</si>
  <si>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</si>
  <si>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</si>
  <si>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</si>
  <si>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migraţiune şi integrare (FAMI), (58.07)</t>
  </si>
  <si>
    <t>Fondul pentru securitate internă (FSI), (58.08)</t>
  </si>
  <si>
    <t>Asistenţă tehnică pentru fondurile în domeniul afacerilor interne (58.09)</t>
  </si>
  <si>
    <t>Anexa 40 c</t>
  </si>
  <si>
    <t xml:space="preserve">   SITUAŢIA  ACTIVELOR ŞI DATORIILOR  FINANCIARE ALE INSTITUŢIILOR PUBLICE </t>
  </si>
  <si>
    <t xml:space="preserve"> </t>
  </si>
  <si>
    <t>cod 19</t>
  </si>
  <si>
    <t xml:space="preserve">  -lei-</t>
  </si>
  <si>
    <t>Nr. Rand</t>
  </si>
  <si>
    <t>DENUMIRE  INDICATOR</t>
  </si>
  <si>
    <t xml:space="preserve">Sold la începutul </t>
  </si>
  <si>
    <t>Sold la sfârşitul</t>
  </si>
  <si>
    <t xml:space="preserve">anului </t>
  </si>
  <si>
    <t>perioadei</t>
  </si>
  <si>
    <t xml:space="preserve">  ACTIVE FINANCIARE </t>
  </si>
  <si>
    <t>NUMERAR SI DEPOZITE, din care:</t>
  </si>
  <si>
    <t>A1</t>
  </si>
  <si>
    <t xml:space="preserve">Numerar </t>
  </si>
  <si>
    <t>Numerar  în lei în casieria instituţiilor publice,  (ct.5310101)</t>
  </si>
  <si>
    <t>4</t>
  </si>
  <si>
    <t xml:space="preserve">Fonduri externe nerambursabile preaderare </t>
  </si>
  <si>
    <t xml:space="preserve">Fonduri externe nerambursabile postaderare </t>
  </si>
  <si>
    <t>Total (în baze cash) (rd.04+05).</t>
  </si>
  <si>
    <t>Dobânzi de încasat aferente disponibilităţilor instituţiilor publice la trezorerii/excedentelor instituţiilor publice la trezorerii (ct.5180701)</t>
  </si>
  <si>
    <t>Total (în baze accrual) (rd.08+09)</t>
  </si>
  <si>
    <t>11</t>
  </si>
  <si>
    <t>Contributii de asigurari de sanatate pentru persoane care executa o pedeapsa  privativa de libertate sau arest preventiv</t>
  </si>
  <si>
    <t>42.23</t>
  </si>
  <si>
    <t xml:space="preserve">Subventii primite de  bugetul fondului national unic de asigurari sociale de sanatate pentru echilibrare </t>
  </si>
  <si>
    <t>42.26</t>
  </si>
  <si>
    <t>Contributii individuale de asigurari sociale de sanatate pentru persoanele aflate in concediu pentru cresterea copilului</t>
  </si>
  <si>
    <t>42.27</t>
  </si>
  <si>
    <t>Contributii de asigurari de sanatate pentru persoanele beneficiare de ajutor social</t>
  </si>
  <si>
    <t>42.47</t>
  </si>
  <si>
    <t>Contributii de asigurari de sanatate pentru cetateni straini aflati in centrele de cazare</t>
  </si>
  <si>
    <t>42.48</t>
  </si>
  <si>
    <t>Contributii de asigurari de sanatate pentru personalul monahal al cultelor recunoscute</t>
  </si>
  <si>
    <t>42.49</t>
  </si>
  <si>
    <t>Contributii de asigurari de sanatate pentru persoanele care se află în executarea măsurilor prev. La art. 105, 113 si 114 din Codul penal, precum şi pt. pers. care se află în perioada de amânare sau întrerupere a executării pedepsei private de libertate</t>
  </si>
  <si>
    <t>42.50</t>
  </si>
  <si>
    <t>Sume alocate din bugetul de stat, altele decât cele de echilibrare, prin bugetul Ministerului Sănătăţii</t>
  </si>
  <si>
    <t>42.53</t>
  </si>
  <si>
    <t>Contributii individuale de asigurari sociale de sanatate aferente indemnizației lunare acordate pe perioada concediului de acomodare în vederea adopției</t>
  </si>
  <si>
    <t>42.72</t>
  </si>
  <si>
    <t>SUBVENTII DE LA ALTE ADMINISTRATII</t>
  </si>
  <si>
    <t>43</t>
  </si>
  <si>
    <t xml:space="preserve"> Contributii de asigurari de sanatate pentru persoane care executa o pedeapsa  privativa de libertate sau arest preventiv</t>
  </si>
  <si>
    <t>43.02</t>
  </si>
  <si>
    <t>43.03</t>
  </si>
  <si>
    <t xml:space="preserve">Contributii de asigurari de sanatate pentru persoane care se afla in concediu medical sau in concedii medicale pentru ingrijirea copilului bolnav in varsta de pana la 7 ani   </t>
  </si>
  <si>
    <t>43.05</t>
  </si>
  <si>
    <t>Contributii de asigurari de sanatate pentru persoane care se afla in concediu medical din cauza de accidente de munca si boli profesionale</t>
  </si>
  <si>
    <t>43.06</t>
  </si>
  <si>
    <t>Contribuţii de asigurări de sănătate pentru persoanele beneficiare de ajutor social</t>
  </si>
  <si>
    <t>43.11</t>
  </si>
  <si>
    <t>Sume alocate din veniturile proprii ale Ministerului Sanatatii Publice</t>
  </si>
  <si>
    <t>43.12</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</si>
  <si>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</si>
  <si>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43.13</t>
  </si>
  <si>
    <t>Contributii de asigurari de sanatate pentru cetatenii romani victime ale traficului de persoane, pentru o perioada de cel putin 12 luni</t>
  </si>
  <si>
    <t>43.18</t>
  </si>
  <si>
    <t>SUME PRIMITE DE LA UE/ALTI DONATORI IN CONTUL PLATILOR EFECTUATE SI PREFINANTARI</t>
  </si>
  <si>
    <t>45</t>
  </si>
  <si>
    <t>Fondul European de Dezvoltare Regionala</t>
  </si>
  <si>
    <t>45.01</t>
  </si>
  <si>
    <t xml:space="preserve"> Sume primite în contul plăţilor efectuate în anul curent</t>
  </si>
  <si>
    <t>45.01.01</t>
  </si>
  <si>
    <t xml:space="preserve"> Sume primite în contul plăţilor efectuate în anii anteriori</t>
  </si>
  <si>
    <t>45.01.02</t>
  </si>
  <si>
    <t>Fondul Social European</t>
  </si>
  <si>
    <t>45.02</t>
  </si>
  <si>
    <t>45.02.01</t>
  </si>
  <si>
    <t>45.02.02</t>
  </si>
  <si>
    <t>SUME PRIMITE DE LA UE/ALTI DONATORI IN CONTUL PLATILOR EFECTUATE SI PREFINANTARI AFERENTE CADRULUI FINANCIAR 2014-2020</t>
  </si>
  <si>
    <t>4808</t>
  </si>
  <si>
    <t>Alte programe comunitare finantate in perioada 2014-2020 (APC)</t>
  </si>
  <si>
    <t>BILANŢ</t>
  </si>
  <si>
    <t>cod 01</t>
  </si>
  <si>
    <t xml:space="preserve">              -lei-</t>
  </si>
  <si>
    <t>NR. CRT</t>
  </si>
  <si>
    <t>DENUMIREA INDICATORILOR</t>
  </si>
  <si>
    <t>Cod rand</t>
  </si>
  <si>
    <t>Sold la inceputul anului</t>
  </si>
  <si>
    <t>Sold la sfarsitul perioadei</t>
  </si>
  <si>
    <t>A</t>
  </si>
  <si>
    <t>B</t>
  </si>
  <si>
    <t>C</t>
  </si>
  <si>
    <t>ACTIVE</t>
  </si>
  <si>
    <t>01</t>
  </si>
  <si>
    <t>ACTIVE NECURENTE</t>
  </si>
  <si>
    <t>02</t>
  </si>
  <si>
    <t>1.</t>
  </si>
  <si>
    <t>03</t>
  </si>
  <si>
    <t>2.</t>
  </si>
  <si>
    <t>04</t>
  </si>
  <si>
    <t>3.</t>
  </si>
  <si>
    <t>05</t>
  </si>
  <si>
    <t>4.</t>
  </si>
  <si>
    <r>
      <rPr>
        <b/>
        <sz val="11"/>
        <rFont val="Arial"/>
        <family val="2"/>
      </rPr>
      <t xml:space="preserve">Alte active nefinanciare                                                                 </t>
    </r>
    <r>
      <rPr>
        <sz val="11"/>
        <rFont val="Arial"/>
        <family val="2"/>
      </rPr>
      <t xml:space="preserve">(ct.2150000) </t>
    </r>
    <r>
      <rPr>
        <b/>
        <sz val="11"/>
        <rFont val="Arial"/>
        <family val="2"/>
      </rPr>
      <t xml:space="preserve"> </t>
    </r>
  </si>
  <si>
    <t>06</t>
  </si>
  <si>
    <t>5.</t>
  </si>
  <si>
    <r>
      <rPr>
        <b/>
        <sz val="11"/>
        <rFont val="Arial"/>
        <family val="2"/>
      </rPr>
      <t xml:space="preserve">Active financiare necurente (investiţii pe termen lung) peste un an                                            </t>
    </r>
    <r>
      <rPr>
        <sz val="11"/>
        <rFont val="Arial"/>
        <family val="2"/>
      </rPr>
      <t>(ct.2600100+2600200+2600300+2650000+ 2670201+ 2670202+ 2670203+2670204+2670205+2670208 -2960101-2960102 -2960103 -2960200),  din care:</t>
    </r>
  </si>
  <si>
    <t>07</t>
  </si>
  <si>
    <r>
      <rPr>
        <b/>
        <sz val="11"/>
        <rFont val="Arial"/>
        <family val="2"/>
        <charset val="238"/>
      </rPr>
      <t>Titluri de participare</t>
    </r>
    <r>
      <rPr>
        <sz val="11"/>
        <rFont val="Arial"/>
        <family val="2"/>
      </rPr>
      <t xml:space="preserve">                                                                              (ct.2600100+2600200+2600300-2960101-2960102-2960103)</t>
    </r>
  </si>
  <si>
    <t>08</t>
  </si>
  <si>
    <r>
      <rPr>
        <b/>
        <sz val="11"/>
        <rFont val="Arial"/>
        <family val="2"/>
      </rPr>
      <t xml:space="preserve">Creante necurente – sume ce urmează a fi încasate după o perioada mai mare de un an </t>
    </r>
    <r>
      <rPr>
        <sz val="11"/>
        <rFont val="Arial"/>
        <family val="2"/>
      </rPr>
      <t xml:space="preserve">(ct.4110201+4110208+4130200+4280202+4610201+ 4610209 - 4910200 - 4960200),  din care:  </t>
    </r>
  </si>
  <si>
    <t>09</t>
  </si>
  <si>
    <t>Creante  comerciale necurente – sume ce urmează a fi încasate după o perioada mai mare de un an                                                                        (ct 4110201+4110208+4130200+4610201 - 4910200 -4960200)</t>
  </si>
  <si>
    <r>
      <rPr>
        <b/>
        <sz val="12"/>
        <rFont val="Times New Roman"/>
        <family val="1"/>
      </rPr>
      <t>TOTAL ACTIVE NECURENTE</t>
    </r>
    <r>
      <rPr>
        <sz val="12"/>
        <rFont val="Times New Roman"/>
        <family val="1"/>
      </rPr>
      <t xml:space="preserve"> (rd.03+04+05+06+07+09)</t>
    </r>
  </si>
  <si>
    <t>ACTIVE  CURENTE</t>
  </si>
  <si>
    <t xml:space="preserve">Creante curente – sume ce urmeaza a fi incasate intr-o perioada mai mica de un an-                                              </t>
  </si>
  <si>
    <t>Decontări privind încheierea execuţiei bugetului de stat din anul curent (ct. 4890101+4890301)</t>
  </si>
  <si>
    <t>21.1</t>
  </si>
  <si>
    <r>
      <rPr>
        <b/>
        <sz val="11"/>
        <rFont val="Arial"/>
        <family val="2"/>
      </rPr>
      <t xml:space="preserve">Creanţe comerciale şi avansuri </t>
    </r>
    <r>
      <rPr>
        <sz val="11"/>
        <rFont val="Arial"/>
        <family val="2"/>
      </rPr>
      <t>(ct.2320000+2340000+4090101+4090102+ 4110101+ 4110108+ 4130100 +4180000+4610101 - 4910100 - 4960100),       din care :</t>
    </r>
  </si>
  <si>
    <t>22.1</t>
  </si>
  <si>
    <r>
      <rPr>
        <b/>
        <sz val="11"/>
        <rFont val="Arial"/>
        <family val="2"/>
        <charset val="238"/>
      </rPr>
      <t>Sume de primit de la Comisia Europeană / alti donatori</t>
    </r>
    <r>
      <rPr>
        <sz val="11"/>
        <rFont val="Arial"/>
        <family val="2"/>
      </rPr>
      <t>(ct.4500100+4500300+4500501+4500502+                 4500503+ 4500504+ 4500505+4500700)</t>
    </r>
  </si>
  <si>
    <r>
      <rPr>
        <b/>
        <sz val="11"/>
        <rFont val="Arial"/>
        <family val="2"/>
      </rPr>
      <t xml:space="preserve">Împrumuturi pe termen scurt acordate     </t>
    </r>
    <r>
      <rPr>
        <sz val="11"/>
        <rFont val="Arial"/>
        <family val="2"/>
      </rPr>
      <t>(ct.2670101+2670102+2670103+2670104+2670105+ 2670108+ 2670601 +2670602+ 2670603+2670604+ 2670605+ 2670609+ 4680101+ 4680102 +4680103+ 4680104 +4680105+4680106+ 4680107+ 4680108+ 4680109 + 4690103+4690105+ 4690106+ 4690108+ 4690109)</t>
    </r>
  </si>
  <si>
    <t>Total creante curente ( rd. 21+23+25+27)</t>
  </si>
  <si>
    <r>
      <rPr>
        <b/>
        <sz val="11"/>
        <rFont val="Arial"/>
        <family val="2"/>
      </rPr>
      <t xml:space="preserve">  Investiţii pe termen scurt </t>
    </r>
    <r>
      <rPr>
        <sz val="11"/>
        <rFont val="Arial"/>
        <family val="2"/>
      </rPr>
      <t>(ct.5050000-5950000)</t>
    </r>
  </si>
  <si>
    <t>Conturi la trezorerii si institutii de credit:</t>
  </si>
  <si>
    <r>
      <rPr>
        <b/>
        <sz val="11"/>
        <rFont val="Arial"/>
        <family val="2"/>
        <charset val="238"/>
      </rPr>
      <t xml:space="preserve">Dobândă de încasat, alte valori, avansuri de trezorerie </t>
    </r>
    <r>
      <rPr>
        <sz val="11"/>
        <rFont val="Arial"/>
        <family val="2"/>
      </rPr>
      <t xml:space="preserve">  (ct.5180701+5320100+5320200+5320300+5320400+ 5320500+ 5320600+ 5320800+5420100) </t>
    </r>
  </si>
  <si>
    <t>33.1</t>
  </si>
  <si>
    <t xml:space="preserve">depozite </t>
  </si>
  <si>
    <r>
      <rPr>
        <b/>
        <sz val="11"/>
        <rFont val="Arial"/>
        <family val="2"/>
      </rPr>
      <t xml:space="preserve">Conturi la instituţii de credit, BNR, casă în valută                        </t>
    </r>
    <r>
      <rPr>
        <sz val="11"/>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+5600103+ 5600402+5610102+5610103+5620102+5620103+5620402)  </t>
    </r>
  </si>
  <si>
    <r>
      <rPr>
        <b/>
        <sz val="11"/>
        <rFont val="Arial"/>
        <family val="2"/>
        <charset val="238"/>
      </rPr>
      <t xml:space="preserve"> Dobândă de încasat,  avansuri de trezorerie</t>
    </r>
    <r>
      <rPr>
        <sz val="11"/>
        <rFont val="Arial"/>
        <family val="2"/>
      </rPr>
      <t xml:space="preserve"> (ct.5180702+5420200) </t>
    </r>
  </si>
  <si>
    <t>35.1</t>
  </si>
  <si>
    <t>depozite</t>
  </si>
  <si>
    <t>Total disponibilitati si alte valori ( rd. 33+33.1+ 35+35.1)</t>
  </si>
  <si>
    <r>
      <rPr>
        <b/>
        <sz val="11"/>
        <rFont val="Arial"/>
        <family val="2"/>
        <charset val="238"/>
      </rPr>
      <t xml:space="preserve">Dobândă de încasat, alte valori, avansuri de trezorerie </t>
    </r>
    <r>
      <rPr>
        <sz val="11"/>
        <rFont val="Arial"/>
        <family val="2"/>
      </rPr>
      <t>(ct.5320400+ 5180701+ 5180702)</t>
    </r>
  </si>
  <si>
    <t>41.1</t>
  </si>
  <si>
    <r>
      <rPr>
        <b/>
        <sz val="11"/>
        <rFont val="Arial"/>
        <family val="2"/>
      </rPr>
      <t xml:space="preserve">Cheltuieli în avans </t>
    </r>
    <r>
      <rPr>
        <sz val="11"/>
        <rFont val="Arial"/>
        <family val="2"/>
      </rPr>
      <t>(ct. 4710000 )</t>
    </r>
  </si>
  <si>
    <r>
      <rPr>
        <b/>
        <sz val="12"/>
        <rFont val="Times New Roman"/>
        <family val="1"/>
      </rPr>
      <t xml:space="preserve">TOTAL ACTIVE CURENTE                                                </t>
    </r>
    <r>
      <rPr>
        <sz val="12"/>
        <rFont val="Times New Roman"/>
        <family val="1"/>
      </rPr>
      <t xml:space="preserve"> (rd.19+30+31+40+41+41.1+42)</t>
    </r>
  </si>
  <si>
    <r>
      <rPr>
        <b/>
        <sz val="12"/>
        <rFont val="Times New Roman"/>
        <family val="1"/>
      </rPr>
      <t xml:space="preserve">TOTAL ACTIVE  </t>
    </r>
    <r>
      <rPr>
        <sz val="12"/>
        <rFont val="Times New Roman"/>
        <family val="1"/>
      </rPr>
      <t xml:space="preserve"> (rd.15+45)</t>
    </r>
  </si>
  <si>
    <t>B.</t>
  </si>
  <si>
    <t>DATORII</t>
  </si>
  <si>
    <t xml:space="preserve">DATORII NECURENTE- sume ce urmeaza a fi platite dupa o perioada mai mare de un an </t>
  </si>
  <si>
    <r>
      <rPr>
        <b/>
        <sz val="11"/>
        <rFont val="Arial"/>
        <family val="2"/>
        <charset val="238"/>
      </rPr>
      <t>Datorii comerciale</t>
    </r>
    <r>
      <rPr>
        <sz val="11"/>
        <rFont val="Arial"/>
        <family val="2"/>
      </rPr>
      <t xml:space="preserve">                                                                       (ct.4010200+4030200+ 4040200+4050200+ 4620201) </t>
    </r>
  </si>
  <si>
    <r>
      <rPr>
        <b/>
        <sz val="11"/>
        <rFont val="Arial"/>
        <family val="2"/>
      </rPr>
      <t xml:space="preserve">Împrumuturi pe termen lung </t>
    </r>
    <r>
      <rPr>
        <sz val="11"/>
        <rFont val="Arial"/>
        <family val="2"/>
      </rPr>
      <t>(ct.1610200+1620200+1630200+1640200+1650200 +1660201+ 1660202+1660203+ 1660204+1670201+ 1670202+1670203 +1670208 +1670209</t>
    </r>
    <r>
      <rPr>
        <b/>
        <sz val="11"/>
        <rFont val="Arial"/>
        <family val="2"/>
      </rPr>
      <t>-</t>
    </r>
    <r>
      <rPr>
        <sz val="11"/>
        <rFont val="Arial"/>
        <family val="2"/>
      </rPr>
      <t>1690200)</t>
    </r>
  </si>
  <si>
    <r>
      <rPr>
        <b/>
        <sz val="11"/>
        <rFont val="Arial"/>
        <family val="2"/>
      </rPr>
      <t xml:space="preserve">Provizioane                                                                                              </t>
    </r>
    <r>
      <rPr>
        <sz val="11"/>
        <rFont val="Arial"/>
        <family val="2"/>
      </rPr>
      <t>(ct. 1510201+1510202+1510203+1510204+1510208)</t>
    </r>
  </si>
  <si>
    <r>
      <rPr>
        <b/>
        <sz val="12"/>
        <rFont val="Times New Roman"/>
        <family val="1"/>
      </rPr>
      <t xml:space="preserve">TOTAL DATORII NECURENTE </t>
    </r>
    <r>
      <rPr>
        <sz val="12"/>
        <rFont val="Times New Roman"/>
        <family val="1"/>
      </rPr>
      <t>(rd.52+54+55)</t>
    </r>
  </si>
  <si>
    <t xml:space="preserve">DATORII CURENTE - sume ce urmeaza a fi platite intr-o perioada de pana la un an  </t>
  </si>
  <si>
    <t>60.1</t>
  </si>
  <si>
    <r>
      <rPr>
        <b/>
        <sz val="11"/>
        <rFont val="Arial"/>
        <family val="2"/>
        <charset val="238"/>
      </rPr>
      <t xml:space="preserve">Datorii comerciale şi avansuri </t>
    </r>
    <r>
      <rPr>
        <sz val="11"/>
        <rFont val="Arial"/>
        <family val="2"/>
      </rPr>
      <t xml:space="preserve">                                                                  (ct. 4010100+4030100+4040100+4050100+ 4080000+ 4190000+ 4620101), din care:</t>
    </r>
  </si>
  <si>
    <t>61.1</t>
  </si>
  <si>
    <t xml:space="preserve">Datoriile institutiilor publice catre bugete                                     </t>
  </si>
  <si>
    <t>63.1</t>
  </si>
  <si>
    <r>
      <rPr>
        <b/>
        <sz val="11"/>
        <rFont val="Arial"/>
        <family val="2"/>
        <charset val="238"/>
      </rPr>
      <t xml:space="preserve"> Sume datorate bugetului din Fonduri externe nerambursabile   </t>
    </r>
    <r>
      <rPr>
        <sz val="11"/>
        <rFont val="Arial"/>
        <family val="2"/>
      </rPr>
      <t xml:space="preserve">         (ct.4550501+4550502+4550503)</t>
    </r>
  </si>
  <si>
    <r>
      <rPr>
        <sz val="11"/>
        <rFont val="Arial"/>
        <family val="2"/>
      </rPr>
      <t>din care:</t>
    </r>
    <r>
      <rPr>
        <b/>
        <sz val="11"/>
        <rFont val="Arial"/>
        <family val="2"/>
        <charset val="238"/>
      </rPr>
      <t xml:space="preserve"> sume datorate Comisiei Europene / alti donatori</t>
    </r>
    <r>
      <rPr>
        <sz val="11"/>
        <rFont val="Arial"/>
        <family val="2"/>
      </rPr>
      <t xml:space="preserve"> (ct.4500200+4500400+4500600+4590000+ 4620103)</t>
    </r>
  </si>
  <si>
    <r>
      <rPr>
        <b/>
        <sz val="11"/>
        <rFont val="Arial"/>
        <family val="2"/>
      </rPr>
      <t xml:space="preserve">Împrumuturi pe termen scurt - sume ce urmează a fi  plătite într-o perioadă de până la  un an </t>
    </r>
    <r>
      <rPr>
        <sz val="11"/>
        <rFont val="Arial"/>
        <family val="2"/>
      </rPr>
      <t>(ct.5180601+5180603+5180604+5180605+5180606 + 5180608+ 5180609+5180800+5190101+5190102 + 5190103+ 5190104+ 5190105+ 5190106+ 5190107+ 5190108+5190109+5190110+ 5190180+ 5190190 )</t>
    </r>
  </si>
  <si>
    <r>
      <rPr>
        <b/>
        <sz val="11"/>
        <rFont val="Arial"/>
        <family val="2"/>
      </rPr>
      <t>Împrumuturi pe termen lung – sume ce urmează</t>
    </r>
    <r>
      <rPr>
        <sz val="11"/>
        <rFont val="Arial"/>
        <family val="2"/>
      </rPr>
      <t xml:space="preserve"> </t>
    </r>
    <r>
      <rPr>
        <b/>
        <sz val="11"/>
        <rFont val="Arial"/>
        <family val="2"/>
      </rPr>
      <t xml:space="preserve">a fi  plătite în cursul exerciţiului curent  </t>
    </r>
    <r>
      <rPr>
        <sz val="11"/>
        <rFont val="Arial"/>
        <family val="2"/>
      </rPr>
      <t>(ct.1610100+1620100+1630100+1640100+1650100+ 1660101+ 1660102 +1660103+1660104+1670101+ 1670102+1670103+ 1670108+1670109+ 1680100 + 1680200+1680300 +1680400+ 1680500+1680701+ 1680702+ 1680703+1680708+1680709 -1690100)</t>
    </r>
  </si>
  <si>
    <r>
      <rPr>
        <b/>
        <sz val="11"/>
        <rFont val="Arial"/>
        <family val="2"/>
      </rPr>
      <t xml:space="preserve">Salariile angajaţilor </t>
    </r>
    <r>
      <rPr>
        <sz val="11"/>
        <rFont val="Arial"/>
        <family val="2"/>
      </rPr>
      <t>(ct.4210000+4230000+4260000+4270100+  4270300+ 4280101)</t>
    </r>
  </si>
  <si>
    <r>
      <rPr>
        <b/>
        <sz val="11"/>
        <rFont val="Arial"/>
        <family val="2"/>
      </rPr>
      <t xml:space="preserve">Alte drepturi cuvenite  altor categorii de persoane (pensii, indemnizaţii de şomaj, burse) </t>
    </r>
    <r>
      <rPr>
        <sz val="11"/>
        <rFont val="Arial"/>
        <family val="2"/>
      </rPr>
      <t>(ct.4220100+4220200+4240000+4260000+4270200+ 4270300+ 4290000+ 4380000), din care:</t>
    </r>
  </si>
  <si>
    <t xml:space="preserve">Pensii, indemnizatii de somaj, burse </t>
  </si>
  <si>
    <t>73.1</t>
  </si>
  <si>
    <r>
      <rPr>
        <b/>
        <sz val="11"/>
        <rFont val="Arial"/>
        <family val="2"/>
      </rPr>
      <t xml:space="preserve">Venituri în avans </t>
    </r>
    <r>
      <rPr>
        <sz val="11"/>
        <rFont val="Arial"/>
        <family val="2"/>
      </rPr>
      <t>(ct.4720000)</t>
    </r>
  </si>
  <si>
    <r>
      <rPr>
        <b/>
        <sz val="11"/>
        <rFont val="Arial"/>
        <family val="2"/>
      </rPr>
      <t xml:space="preserve">Provizioane                                                                                                     </t>
    </r>
    <r>
      <rPr>
        <sz val="11"/>
        <rFont val="Arial"/>
        <family val="2"/>
      </rPr>
      <t xml:space="preserve">(ct.1510101+1510102+1510103+1510104+ 1510108) </t>
    </r>
  </si>
  <si>
    <r>
      <rPr>
        <b/>
        <sz val="12"/>
        <rFont val="Times New Roman"/>
        <family val="1"/>
      </rPr>
      <t xml:space="preserve">TOTAL DATORII CURENTE </t>
    </r>
    <r>
      <rPr>
        <sz val="12"/>
        <rFont val="Times New Roman"/>
        <family val="1"/>
      </rPr>
      <t>(rd.60+62+65+70+71+72+73+74+75)</t>
    </r>
  </si>
  <si>
    <r>
      <rPr>
        <b/>
        <sz val="12"/>
        <rFont val="Times New Roman"/>
        <family val="1"/>
      </rPr>
      <t xml:space="preserve">TOTAL DATORII </t>
    </r>
    <r>
      <rPr>
        <sz val="12"/>
        <rFont val="Times New Roman"/>
        <family val="1"/>
      </rPr>
      <t>(rd.58+78)</t>
    </r>
  </si>
  <si>
    <r>
      <rPr>
        <b/>
        <sz val="12"/>
        <rFont val="Times New Roman"/>
        <family val="1"/>
      </rPr>
      <t xml:space="preserve">ACTIVE NETE = TOTAL ACTIVE  – TOTAL DATORII = CAPITALURI PROPRII                                             </t>
    </r>
    <r>
      <rPr>
        <sz val="12"/>
        <rFont val="Times New Roman"/>
        <family val="1"/>
      </rPr>
      <t xml:space="preserve"> (rd.80 = rd.46-79 = rd.90)</t>
    </r>
  </si>
  <si>
    <t>C.</t>
  </si>
  <si>
    <t>CAPITALURI PROPRII</t>
  </si>
  <si>
    <r>
      <rPr>
        <b/>
        <sz val="11"/>
        <rFont val="Arial"/>
        <family val="2"/>
      </rPr>
      <t xml:space="preserve">Rezultatul reportat                                                                                 </t>
    </r>
    <r>
      <rPr>
        <sz val="11"/>
        <rFont val="Arial"/>
        <family val="2"/>
      </rPr>
      <t>(ct.1170000- sold creditor)</t>
    </r>
    <r>
      <rPr>
        <b/>
        <sz val="11"/>
        <rFont val="Arial"/>
        <family val="2"/>
      </rPr>
      <t xml:space="preserve">   </t>
    </r>
  </si>
  <si>
    <r>
      <rPr>
        <b/>
        <sz val="11"/>
        <rFont val="Arial"/>
        <family val="2"/>
      </rPr>
      <t xml:space="preserve">Rezultatul reportat                                                                             </t>
    </r>
    <r>
      <rPr>
        <sz val="11"/>
        <rFont val="Arial"/>
        <family val="2"/>
      </rPr>
      <t>(ct.1170000- sold debitor)</t>
    </r>
  </si>
  <si>
    <r>
      <rPr>
        <b/>
        <sz val="11"/>
        <rFont val="Arial"/>
        <family val="2"/>
      </rPr>
      <t xml:space="preserve">Rezultatul patrimonial al exercitiului                                         </t>
    </r>
    <r>
      <rPr>
        <sz val="11"/>
        <rFont val="Arial"/>
        <family val="2"/>
      </rPr>
      <t>(ct.1210000- sold creditor)</t>
    </r>
  </si>
  <si>
    <r>
      <rPr>
        <b/>
        <sz val="11"/>
        <rFont val="Arial"/>
        <family val="2"/>
      </rPr>
      <t xml:space="preserve">Rezultatul patrimonial al exercitiului                                            </t>
    </r>
    <r>
      <rPr>
        <sz val="11"/>
        <rFont val="Arial"/>
        <family val="2"/>
      </rPr>
      <t>(ct.1210000- sold debitor)</t>
    </r>
  </si>
  <si>
    <r>
      <rPr>
        <b/>
        <sz val="12"/>
        <rFont val="Times New Roman"/>
        <family val="1"/>
      </rPr>
      <t xml:space="preserve">TOTAL CAPITALURI PROPRII                                                                  </t>
    </r>
    <r>
      <rPr>
        <sz val="12"/>
        <rFont val="Times New Roman"/>
        <family val="1"/>
      </rPr>
      <t xml:space="preserve"> (rd.84+85–86+87-88)</t>
    </r>
  </si>
  <si>
    <t xml:space="preserve"> *) Conturi de repartizat după natura elementelor respective.</t>
  </si>
  <si>
    <t xml:space="preserve"> **) Solduri debitoare ale conturilor respective.</t>
  </si>
  <si>
    <t>PREŞEDINTE-DIRECTOR GENERAL,</t>
  </si>
  <si>
    <t>DIRECTOR EXECUTIV   ECONOMIC,</t>
  </si>
  <si>
    <t>cod 02</t>
  </si>
  <si>
    <t xml:space="preserve">             - lei-</t>
  </si>
  <si>
    <t>Nr. crt</t>
  </si>
  <si>
    <t>DENUMIREA INDICATORULUI</t>
  </si>
  <si>
    <t>An precedent</t>
  </si>
  <si>
    <t>An curent</t>
  </si>
  <si>
    <t>I.</t>
  </si>
  <si>
    <t xml:space="preserve">VENITURI OPERATIONALE </t>
  </si>
  <si>
    <r>
      <rPr>
        <b/>
        <sz val="11"/>
        <rFont val="Arial"/>
        <family val="2"/>
      </rPr>
      <t xml:space="preserve">Venituri din activităţi economice                                              </t>
    </r>
    <r>
      <rPr>
        <sz val="11"/>
        <rFont val="Arial"/>
        <family val="2"/>
      </rPr>
      <t>(ct.7210000+7220000+7510100+ 7510200+/-7090000)</t>
    </r>
  </si>
  <si>
    <t>TOTAL VENITURI OPERATIONALE  (rd.02+03+04+05)</t>
  </si>
  <si>
    <t>II.</t>
  </si>
  <si>
    <t>CHELTUIELI  OPERATIONALE</t>
  </si>
  <si>
    <r>
      <rPr>
        <b/>
        <sz val="11"/>
        <rFont val="Arial"/>
        <family val="2"/>
      </rPr>
      <t xml:space="preserve">Subventii şi transferuri </t>
    </r>
    <r>
      <rPr>
        <sz val="11"/>
        <rFont val="Arial"/>
        <family val="2"/>
      </rPr>
      <t>(ct.6700000+6710000+6720000+6730000+6740000+ 6750000+ 6760000+ 6770000+ 6780000+6790000)</t>
    </r>
  </si>
  <si>
    <t>TOTAL CHELTUIELI OPERATIONALE (rd.08+09+10+11+12)</t>
  </si>
  <si>
    <t>III.</t>
  </si>
  <si>
    <t xml:space="preserve">REZULTATUL DIN ACTIVITATEA OPERATIONALA </t>
  </si>
  <si>
    <t>- EXCEDENT (rd.06- rd.13)</t>
  </si>
  <si>
    <t>- DEFICIT (rd.13- rd.06)</t>
  </si>
  <si>
    <t>IV.</t>
  </si>
  <si>
    <r>
      <rPr>
        <b/>
        <sz val="11"/>
        <rFont val="Arial"/>
        <family val="2"/>
      </rPr>
      <t xml:space="preserve">VENITURI FINANCIARE </t>
    </r>
    <r>
      <rPr>
        <sz val="11"/>
        <rFont val="Arial"/>
        <family val="2"/>
      </rPr>
      <t>(ct.7630000+7640000+7650100+7650200+7660000+7670000+  7680000+ 7690000+ 7860300+7860400)</t>
    </r>
  </si>
  <si>
    <t>V.</t>
  </si>
  <si>
    <r>
      <rPr>
        <b/>
        <sz val="11"/>
        <rFont val="Arial"/>
        <family val="2"/>
      </rPr>
      <t xml:space="preserve">CHELTUIELI FINANCIARE </t>
    </r>
    <r>
      <rPr>
        <sz val="11"/>
        <rFont val="Arial"/>
        <family val="2"/>
      </rPr>
      <t>(ct.6630000+6640000+6650100+6650200+6660000+6670000+ 6680000+ 6690000+ 6860300+6860400+6860800)</t>
    </r>
  </si>
  <si>
    <t>VI.</t>
  </si>
  <si>
    <t>REZULTATUL DIN ACTIVITATEA FINANCIARA</t>
  </si>
  <si>
    <t xml:space="preserve">- EXCEDENT (rd.17- rd.18) </t>
  </si>
  <si>
    <t>- DEFICIT (rd.18- rd.17)</t>
  </si>
  <si>
    <t>VII.</t>
  </si>
  <si>
    <t xml:space="preserve">REZULTATUL DIN ACTIVITATEA CURENTA </t>
  </si>
  <si>
    <t xml:space="preserve"> - EXCEDENT (rd.15+20-16-21)</t>
  </si>
  <si>
    <t xml:space="preserve"> - DEFICIT  (rd.16+21-15-20)</t>
  </si>
  <si>
    <t>VIII.</t>
  </si>
  <si>
    <r>
      <rPr>
        <b/>
        <sz val="11"/>
        <rFont val="Arial"/>
        <family val="2"/>
      </rPr>
      <t xml:space="preserve">VENITURI EXTRAORDINARE                                           </t>
    </r>
    <r>
      <rPr>
        <sz val="11"/>
        <rFont val="Arial"/>
        <family val="2"/>
      </rPr>
      <t>(ct.7910000)</t>
    </r>
  </si>
  <si>
    <t>IX.</t>
  </si>
  <si>
    <r>
      <rPr>
        <b/>
        <sz val="11"/>
        <rFont val="Arial"/>
        <family val="2"/>
      </rPr>
      <t xml:space="preserve">CHELTUIELI  EXTRAORDINARE                </t>
    </r>
    <r>
      <rPr>
        <sz val="11"/>
        <rFont val="Arial"/>
        <family val="2"/>
      </rPr>
      <t>(ct.6900000+6910000)</t>
    </r>
  </si>
  <si>
    <t>X</t>
  </si>
  <si>
    <t xml:space="preserve">REZULTATUL DIN ACTIVITATEA EXTRAORDINARA </t>
  </si>
  <si>
    <t>- EXCEDENT (rd.25-rd.26)</t>
  </si>
  <si>
    <t>- DEFICIT  (rd.26-rd.25)</t>
  </si>
  <si>
    <t>XI.</t>
  </si>
  <si>
    <t xml:space="preserve">REZULTATUL PATRIMONIAL AL EXERCIŢIULUI (BRUT) </t>
  </si>
  <si>
    <t>29.1</t>
  </si>
  <si>
    <t xml:space="preserve"> - EXCEDENT (rd. 23+28-24-29)</t>
  </si>
  <si>
    <t>29.2</t>
  </si>
  <si>
    <t xml:space="preserve"> - DEFICIT (rd. 24+29-23-28)</t>
  </si>
  <si>
    <t>29.3</t>
  </si>
  <si>
    <t>29.4</t>
  </si>
  <si>
    <t>XI</t>
  </si>
  <si>
    <t>REZULTATUL PATRIMONIAL AL EXERCIŢIULUI (NET)</t>
  </si>
  <si>
    <t xml:space="preserve"> - EXCEDENT (rd. 29.2 - rd.29.4)</t>
  </si>
  <si>
    <t xml:space="preserve"> - DEFICIT (rd. 29.3 + rd.29.4)</t>
  </si>
  <si>
    <t>cod 03</t>
  </si>
  <si>
    <t>- lei -</t>
  </si>
  <si>
    <t>Cod rând</t>
  </si>
  <si>
    <t>TOTAL</t>
  </si>
  <si>
    <t>CASA cont 5310101</t>
  </si>
  <si>
    <t xml:space="preserve"> BUGET DE STAT *           cont 5200100 la încasări şi cont 7700000 la plăţi</t>
  </si>
  <si>
    <t xml:space="preserve"> BUGET LOCAL cont 5210100 la încasări şi cont 7700000 la plăţi</t>
  </si>
  <si>
    <t>BUGETUL ASIGURĂRILOR SOCIALE DE STAT   cont 5250101+5250102 la încasări şi cont 7700000 la plăţi</t>
  </si>
  <si>
    <t xml:space="preserve"> BUGETUL ASIGURĂRILOR PENTRU ŞOMAJ  cont 5740101+5740102 la încasări şi cont 7700000 la plăţi</t>
  </si>
  <si>
    <t xml:space="preserve"> BUGETUL ASIGURĂRILOR SOCIALE DE SĂNĂTATE  cont 5710100 la încasări şi cont 7700000 la plăţi</t>
  </si>
  <si>
    <t>BUGETUL FONDULUI PENTRU MEDIU cont 5750100 la încasări şi cont 7700000 la plăţi</t>
  </si>
  <si>
    <t>BUGETUL TREZORERIEI STATULUI cont 5240100 la încasări şi cont 7700000 la plăţi</t>
  </si>
  <si>
    <t>BUGET INSTITUTII PUBLICE FINANTATE INTEGRAL DIN VENITURI PROPRII ct 5600101/7700000</t>
  </si>
  <si>
    <t>BUGET INSTITUTII PUBLICE FINANTATE DIN VENITURI PROPRII SI SUBVENTII ct 5610101/7700000</t>
  </si>
  <si>
    <t>BUGET ACTIVITATI FINANTATE DIN VENITURI PROPRII SI BUGET ACTIVITATI DE PRIVATIZARE ct 5620101/7700000</t>
  </si>
  <si>
    <t>1=2+3+…+15</t>
  </si>
  <si>
    <t>I. NUMERAR DIN ACTIVITATEA OPERAŢIONALĂ</t>
  </si>
  <si>
    <t>1. Încasări</t>
  </si>
  <si>
    <t>2. Plăţi</t>
  </si>
  <si>
    <t>3. Numerar net din activitatea operaţională            (rd. 02- rd 03)</t>
  </si>
  <si>
    <t>II. NUMERAR DIN ACTIVITATEA DE INVESTIŢII</t>
  </si>
  <si>
    <t>3. Numerar net din activitatea de investiţii                     (rd. 06- rd 07)</t>
  </si>
  <si>
    <t>III. NUMERAR DIN ACTIVITATEA DE FINANŢARE</t>
  </si>
  <si>
    <t>3. Numerar net din activitatea de finanţare              (rd. 10- rd 11)</t>
  </si>
  <si>
    <t>IV. CREŞTEREA (DESCREŞTEREA) NETĂ DE NUMERAR ŞI ECHIVALENT DE NUMERAR                  (rd. 04+ rd. 08+ rd.12)</t>
  </si>
  <si>
    <t>V. NUMERAR ŞI ECHIVALENT DE NUMERAR LA ÎNCEPUTUL ANULUI</t>
  </si>
  <si>
    <t>14.1</t>
  </si>
  <si>
    <t>14.2</t>
  </si>
  <si>
    <t>14.3</t>
  </si>
  <si>
    <t xml:space="preserve">VI. NUMERAR ŞI ECHIVALENT DE NUMERAR  LA   SFÂRŞITUL PERIOADEI                             (rd. 13+14+14.1-14.2) </t>
  </si>
  <si>
    <t>cod 04</t>
  </si>
  <si>
    <t>Total</t>
  </si>
  <si>
    <t>Casa in valuta     cont 5310402</t>
  </si>
  <si>
    <t>Disponibilitati in lei si in valuta deschise la unităţi bancare(5xxxxxx)</t>
  </si>
  <si>
    <t>3. Numerar net din activitatea de investiţii              (rd. 06- rd 07)</t>
  </si>
  <si>
    <t>3. Numerar net din activitatea de finanţare                (rd. 10- rd 11)</t>
  </si>
  <si>
    <t>IV. CREŞTEREA (DESCREŞTEREA) NETĂ DE NUMERAR ŞI ECHIVALENT DE NUMERAR               (rd. 04+ rd. 08+ rd.12)</t>
  </si>
  <si>
    <t>1. Diferente de curs favorabile</t>
  </si>
  <si>
    <t>2. Diferente de curs nefavorabile</t>
  </si>
  <si>
    <t>VI. NUMERAR ŞI ECHIVALENT DE NUMERAR  LA FINELE  PERIOADEI   ( rd. 13+14+15-16)</t>
  </si>
  <si>
    <t>Anexa 14 a</t>
  </si>
  <si>
    <t>DISPONIBIL DIN MIJLOACE CU DESTINATIE SPECIALA</t>
  </si>
  <si>
    <t>cod 05</t>
  </si>
  <si>
    <t>-lei-</t>
  </si>
  <si>
    <t>Nr. rand</t>
  </si>
  <si>
    <t>Disponibil la începutul anului</t>
  </si>
  <si>
    <t>Încasări</t>
  </si>
  <si>
    <t>Plăţi</t>
  </si>
  <si>
    <t>Disponibil la sfârşitul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</si>
  <si>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</si>
  <si>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</si>
  <si>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</si>
  <si>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</si>
  <si>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xml:space="preserve">– Disponibil al institutiilor publice de subordonare centrala finantate integral de la bugetul de stat sau de la celelalte bugete, din sume indisponibilizate pe baza de titluri executorii (ct. 5500101, ct. 5500102/analitic distinct)                                                                                                                                                                  </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</si>
  <si>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</si>
  <si>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</si>
  <si>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</si>
  <si>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</si>
  <si>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</si>
  <si>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</si>
  <si>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</si>
  <si>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</si>
  <si>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</si>
  <si>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</si>
  <si>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</si>
  <si>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</si>
  <si>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primite din contribuţia financiară a Comunităţii Europene  (alte fonduri de preaderare decât PHARE, ISPA;SAPARD)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</si>
  <si>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</si>
  <si>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5500102/analitic distinct;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</si>
  <si>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</si>
  <si>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</si>
  <si>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</si>
  <si>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</si>
  <si>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</si>
  <si>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</si>
  <si>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</si>
  <si>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rPr>
        <sz val="12"/>
        <rFont val="Arial"/>
        <family val="2"/>
      </rPr>
      <t xml:space="preserve">      </t>
    </r>
    <r>
      <rPr>
        <b/>
        <sz val="12"/>
        <rFont val="Arial"/>
        <family val="2"/>
      </rPr>
      <t>TOTAL ( rd.01+30 )</t>
    </r>
  </si>
  <si>
    <t>*)  Se detaliază pe fonduri în raportul de analiză pe bază de bilanţ</t>
  </si>
  <si>
    <t>Anexa 32</t>
  </si>
  <si>
    <t xml:space="preserve">     Situatia sumelor evidentiate in conturi in afara bilantului </t>
  </si>
  <si>
    <t xml:space="preserve">rezultate  din operatiuni  ce decurg din administrarea veniturilor </t>
  </si>
  <si>
    <t xml:space="preserve">                      bugetului general consolidat *</t>
  </si>
  <si>
    <t>cod 06</t>
  </si>
  <si>
    <t xml:space="preserve">Simbol cont contabil </t>
  </si>
  <si>
    <t xml:space="preserve">Denumirea contului </t>
  </si>
  <si>
    <t>Soldul contului la începutul anului</t>
  </si>
  <si>
    <t>Soldul contului la sfârşitul perioadei</t>
  </si>
  <si>
    <t>0</t>
  </si>
  <si>
    <t>D</t>
  </si>
  <si>
    <t>Valori materiale supuse  sechestrului</t>
  </si>
  <si>
    <t xml:space="preserve">Garantii depuse pentru sume  contestate </t>
  </si>
  <si>
    <t>Garantii depuse pentru inlesniri acordate</t>
  </si>
  <si>
    <t xml:space="preserve">Inlesniri la plata creantelor bugetare </t>
  </si>
  <si>
    <t xml:space="preserve">Cautiuni depuse pentru contestatie la executarea silita </t>
  </si>
  <si>
    <t>Garantii legale costituite in cadrul procedurii de suspendare a executarii silite prin decontare bancara</t>
  </si>
  <si>
    <t>Creante fiscale pentru care s-a declarat starea de insolvabilitate a debitorului</t>
  </si>
  <si>
    <t>Alte valori în afara bilanţului</t>
  </si>
  <si>
    <t>TOTAL (01 la 08)</t>
  </si>
  <si>
    <t>Situaţia plăţilor efectuate şi a sumelor declarate pentru cota-parte aferentă cheltuielilor finanţate din FEN postaderare</t>
  </si>
  <si>
    <t>cod 13)</t>
  </si>
  <si>
    <t>Denumirea programului cu finanţare UE/alţi donatori</t>
  </si>
  <si>
    <t>Cod 
rând</t>
  </si>
  <si>
    <t>Plăţi efectuate de la titlul 56 şi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</si>
  <si>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</si>
  <si>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</si>
  <si>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</si>
  <si>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</si>
  <si>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</si>
  <si>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</si>
  <si>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</si>
  <si>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Sume rezultate din nereguli deduse din sumele solicitate la rambursare aferente cheltuielilor efectuate în anul curent</t>
  </si>
  <si>
    <t>2</t>
  </si>
  <si>
    <t>5</t>
  </si>
  <si>
    <t>6</t>
  </si>
  <si>
    <t>7</t>
  </si>
  <si>
    <t>8</t>
  </si>
  <si>
    <t>9</t>
  </si>
  <si>
    <t>10</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</si>
  <si>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</si>
  <si>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</si>
  <si>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</si>
  <si>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</si>
  <si>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</si>
  <si>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</si>
  <si>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</si>
  <si>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</si>
  <si>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</si>
  <si>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</si>
  <si>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</si>
  <si>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</si>
  <si>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</si>
  <si>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</si>
  <si>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</si>
  <si>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</si>
  <si>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</si>
  <si>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 xml:space="preserve">  -contribuţia pentru bugetul asigurărilor sociale de stat (ct.4310100, ct.4310200)                                                                                             ( rd.20.1+20.2+20.3+20.4+20.5)</t>
  </si>
  <si>
    <t>20.1</t>
  </si>
  <si>
    <t>20.2</t>
  </si>
  <si>
    <t>20.3</t>
  </si>
  <si>
    <t>20.4</t>
  </si>
  <si>
    <t>20.5</t>
  </si>
  <si>
    <t xml:space="preserve">  -contribuţia pentru bugetul asigurărilor pentru şomaj                     (ct.4370100, ct.4370200, ct.4370300)                                                                          (rd. 21.1+21.2+21.3+21.4+21.5)</t>
  </si>
  <si>
    <t xml:space="preserve">  -sub 30 de zile</t>
  </si>
  <si>
    <t>21.2</t>
  </si>
  <si>
    <t>21.3</t>
  </si>
  <si>
    <t>21.4</t>
  </si>
  <si>
    <t>21.5</t>
  </si>
  <si>
    <r>
      <rPr>
        <b/>
        <sz val="11"/>
        <rFont val="Arial"/>
        <family val="2"/>
      </rPr>
      <t xml:space="preserve">Plăţi restante faţă  de bugetele locale                                       </t>
    </r>
    <r>
      <rPr>
        <sz val="11"/>
        <rFont val="Arial"/>
        <family val="2"/>
        <charset val="238"/>
      </rPr>
      <t xml:space="preserve">   (ct.4460000, ct.4480100),               din care: (rd.22.1+23+24+25+26)</t>
    </r>
  </si>
  <si>
    <r>
      <rPr>
        <b/>
        <sz val="11"/>
        <rFont val="Arial"/>
        <family val="2"/>
      </rPr>
      <t xml:space="preserve">    -</t>
    </r>
    <r>
      <rPr>
        <sz val="11"/>
        <rFont val="Arial"/>
        <family val="2"/>
      </rPr>
      <t>sub 30 de zile</t>
    </r>
  </si>
  <si>
    <t>23</t>
  </si>
  <si>
    <t xml:space="preserve">   -peste 90 de zile</t>
  </si>
  <si>
    <t>24</t>
  </si>
  <si>
    <t>25</t>
  </si>
  <si>
    <t>26</t>
  </si>
  <si>
    <r>
      <rPr>
        <b/>
        <sz val="11"/>
        <rFont val="Arial"/>
        <family val="2"/>
      </rPr>
      <t xml:space="preserve">Plăţi restante faţă  de salariaţi (drepturi salariale)              </t>
    </r>
    <r>
      <rPr>
        <sz val="11"/>
        <rFont val="Arial"/>
        <family val="2"/>
        <charset val="238"/>
      </rPr>
      <t xml:space="preserve">  (ct.4210000,ct. 4230000, ct.4260000,ct.4270100,ct.4270300 ct.4280101), din care: (rd.27.1+.28+29+30+31)</t>
    </r>
  </si>
  <si>
    <t>27</t>
  </si>
  <si>
    <r>
      <rPr>
        <b/>
        <sz val="11"/>
        <rFont val="Arial"/>
        <family val="2"/>
      </rPr>
      <t xml:space="preserve">   -</t>
    </r>
    <r>
      <rPr>
        <sz val="11"/>
        <rFont val="Arial"/>
        <family val="2"/>
      </rPr>
      <t>sub 30 de zile</t>
    </r>
  </si>
  <si>
    <t>27.1</t>
  </si>
  <si>
    <t>28</t>
  </si>
  <si>
    <t>29</t>
  </si>
  <si>
    <t xml:space="preserve">    -din care ct.(4271+4273)</t>
  </si>
  <si>
    <r>
      <rPr>
        <b/>
        <sz val="11"/>
        <rFont val="Arial"/>
        <family val="2"/>
      </rPr>
      <t xml:space="preserve">Plăţi restante faţă  de alte categorii de persoane                       </t>
    </r>
    <r>
      <rPr>
        <sz val="11"/>
        <rFont val="Arial"/>
        <family val="2"/>
        <charset val="238"/>
      </rPr>
      <t xml:space="preserve">   (ct.4220100, ct. 4220200, ct.4240000 , ct.4270200, ct.4270300, ct.4290000, ct.4380000 ), din care: (rd.32.1+33+34+35+36)</t>
    </r>
  </si>
  <si>
    <t>32</t>
  </si>
  <si>
    <r>
      <rPr>
        <b/>
        <sz val="11"/>
        <rFont val="Arial"/>
        <family val="2"/>
      </rPr>
      <t xml:space="preserve">   -</t>
    </r>
    <r>
      <rPr>
        <sz val="11"/>
        <rFont val="Arial"/>
        <family val="2"/>
      </rPr>
      <t xml:space="preserve">sub 30 de zile : </t>
    </r>
  </si>
  <si>
    <t>32.1</t>
  </si>
  <si>
    <t xml:space="preserve">   -peste 30 de zile :</t>
  </si>
  <si>
    <t>33</t>
  </si>
  <si>
    <t xml:space="preserve">   -peste 90 de zile din care:( rd.34.1+34.2+34.3+34.4)</t>
  </si>
  <si>
    <t>34</t>
  </si>
  <si>
    <t xml:space="preserve">  - ct.(422+424)</t>
  </si>
  <si>
    <t>34.1</t>
  </si>
  <si>
    <t xml:space="preserve">  -ct.(4272+4273)</t>
  </si>
  <si>
    <t>34.2</t>
  </si>
  <si>
    <t xml:space="preserve">  - ct.(429)</t>
  </si>
  <si>
    <t>34.3</t>
  </si>
  <si>
    <t xml:space="preserve">  -ct.(438)</t>
  </si>
  <si>
    <t>34.4</t>
  </si>
  <si>
    <t xml:space="preserve">   -peste 120 zile  </t>
  </si>
  <si>
    <t>35</t>
  </si>
  <si>
    <t xml:space="preserve">   -peste 1 an </t>
  </si>
  <si>
    <r>
      <rPr>
        <b/>
        <sz val="11"/>
        <rFont val="Arial"/>
        <family val="2"/>
      </rPr>
      <t xml:space="preserve">Împrumuturi nerambursate la scadenţă                              </t>
    </r>
    <r>
      <rPr>
        <sz val="11"/>
        <rFont val="Arial"/>
        <family val="2"/>
        <charset val="238"/>
      </rPr>
      <t xml:space="preserve">  (ct.1610100, ct.1640100, ct. 1650100, ct.1670101, ct. 1670102, ct. 1670103,  ct. 1670108, ct. 1670109, ct.1690100, ct.5190101, ct.5190102,  ct.5190104, ct.5190108, ct.5190110, ct.5190180, ct.5190190)       din care: (rd.37.1+38+39+40+41)</t>
    </r>
  </si>
  <si>
    <t>37.1</t>
  </si>
  <si>
    <t xml:space="preserve">   -peste 30 de zile </t>
  </si>
  <si>
    <t>38</t>
  </si>
  <si>
    <t>39</t>
  </si>
  <si>
    <t>40</t>
  </si>
  <si>
    <t>41</t>
  </si>
  <si>
    <r>
      <rPr>
        <b/>
        <sz val="11"/>
        <rFont val="Arial"/>
        <family val="2"/>
      </rPr>
      <t>Dobânzi restante, din care: (aferente celor de la rd.37)</t>
    </r>
    <r>
      <rPr>
        <sz val="11"/>
        <rFont val="Arial"/>
        <family val="2"/>
        <charset val="238"/>
      </rPr>
      <t>, (ct.1680100,  ct.1680400, ct.1680500, ct.1680701, ct1680702, ct. 1680703, ct. 1680708, ct. 1680709, ct.5180605, ct. 5180606, ct. 5180608, ct. 5180609, ct. 5180800),     din care:    (rd 42.1+.43+44+45+46)</t>
    </r>
  </si>
  <si>
    <t>42.1</t>
  </si>
  <si>
    <t xml:space="preserve">   -peste 30 de zile   </t>
  </si>
  <si>
    <t>44</t>
  </si>
  <si>
    <t>46</t>
  </si>
  <si>
    <t>47.1</t>
  </si>
  <si>
    <t>47.2</t>
  </si>
  <si>
    <t>47.3</t>
  </si>
  <si>
    <t xml:space="preserve">  -peste 120 zile</t>
  </si>
  <si>
    <t>47.4</t>
  </si>
  <si>
    <t xml:space="preserve">  -peste 1 an</t>
  </si>
  <si>
    <t>47.5</t>
  </si>
  <si>
    <t>cod 45</t>
  </si>
  <si>
    <t>LEI</t>
  </si>
  <si>
    <t>SIMBOL CONT</t>
  </si>
  <si>
    <t>DENUMIRE CONT</t>
  </si>
  <si>
    <t>DEBITOR</t>
  </si>
  <si>
    <t>CREDITOR</t>
  </si>
  <si>
    <t>Dobânzi de încasat aferente execedentelor instituţiilor publice la trezorerii (ct.5180701)</t>
  </si>
  <si>
    <t>12</t>
  </si>
  <si>
    <t>Total (în baze accrual) (rd.11+12)</t>
  </si>
  <si>
    <t>13</t>
  </si>
  <si>
    <r>
      <rPr>
        <sz val="11"/>
        <color indexed="8"/>
        <rFont val="Arial"/>
        <family val="2"/>
        <charset val="238"/>
      </rPr>
      <t>Depozite   in lei ale instituţiilor publice la trezorerii                      (ct.5150301+</t>
    </r>
    <r>
      <rPr>
        <b/>
        <sz val="11"/>
        <color indexed="8"/>
        <rFont val="Arial"/>
        <family val="2"/>
        <charset val="238"/>
      </rPr>
      <t xml:space="preserve"> </t>
    </r>
    <r>
      <rPr>
        <sz val="11"/>
        <color indexed="8"/>
        <rFont val="Arial"/>
        <family val="2"/>
        <charset val="238"/>
      </rPr>
      <t>ct.5250400+ct.5600401+ct. 5620401+ct.5710400+ct.5740400)</t>
    </r>
  </si>
  <si>
    <t>14</t>
  </si>
  <si>
    <t>Dobânzi de încasat aferente depozitelor instituţiilor publice la trezorerii (ct.5180701)</t>
  </si>
  <si>
    <t>15</t>
  </si>
  <si>
    <t>Total (în baze accrual)(rd.14+15)</t>
  </si>
  <si>
    <t>16</t>
  </si>
  <si>
    <t xml:space="preserve">Avansuri de trezorerie, acordate în lei. (ct. 5420100) </t>
  </si>
  <si>
    <t>17</t>
  </si>
  <si>
    <t>Alte valori (ct.5320100+ct.5320200+ct.5320300+ct.5320400+ct.5320500+  ct. 5320600+ct.5320800)</t>
  </si>
  <si>
    <t>18</t>
  </si>
  <si>
    <t xml:space="preserve">A2
</t>
  </si>
  <si>
    <r>
      <rPr>
        <b/>
        <sz val="11"/>
        <rFont val="Arial"/>
        <family val="2"/>
        <charset val="238"/>
      </rPr>
      <t xml:space="preserve">Depozite transferabile (Disponibilităţi în conturi curente şi de depozit), </t>
    </r>
    <r>
      <rPr>
        <b/>
        <i/>
        <u/>
        <sz val="11"/>
        <rFont val="Arial"/>
        <family val="2"/>
        <charset val="238"/>
      </rPr>
      <t>din care:</t>
    </r>
  </si>
  <si>
    <r>
      <rPr>
        <b/>
        <sz val="11"/>
        <rFont val="Arial"/>
        <family val="2"/>
        <charset val="238"/>
      </rPr>
      <t xml:space="preserve"> </t>
    </r>
    <r>
      <rPr>
        <b/>
        <i/>
        <sz val="11"/>
        <rFont val="Arial"/>
        <family val="2"/>
        <charset val="238"/>
      </rPr>
      <t xml:space="preserve"> </t>
    </r>
    <r>
      <rPr>
        <i/>
        <sz val="11"/>
        <rFont val="Arial"/>
        <family val="2"/>
        <charset val="238"/>
      </rPr>
      <t>-</t>
    </r>
    <r>
      <rPr>
        <b/>
        <i/>
        <sz val="11"/>
        <rFont val="Arial"/>
        <family val="2"/>
        <charset val="238"/>
      </rPr>
      <t xml:space="preserve">Disponibilităţi la </t>
    </r>
    <r>
      <rPr>
        <b/>
        <i/>
        <u/>
        <sz val="11"/>
        <rFont val="Arial"/>
        <family val="2"/>
        <charset val="238"/>
      </rPr>
      <t>instituţii de credit</t>
    </r>
    <r>
      <rPr>
        <b/>
        <i/>
        <sz val="11"/>
        <rFont val="Arial"/>
        <family val="2"/>
        <charset val="238"/>
      </rPr>
      <t xml:space="preserve"> rezidente </t>
    </r>
  </si>
  <si>
    <t>Disponibilităţi   ale instituţiilor publice la instituţiile de credit rezidente (ct.5110101+ct.5110102+ct.5120102+ct.5120402+ct.5120502+ ct.5130102+  ct. 5130202+ct.5140102+ct.5140202 +ct.5150102+ ct.5150202+ ct.5290302+ct.5290902+ct.5410102+ ct.5410202+ ct.5500102+ ct.5600102+ct 5610102+ct 5610103+ct 5620102+ct 5620103), din care:</t>
  </si>
  <si>
    <t>Numerar în valută  în casieria instituţiilor publice,  (ct.5310402)</t>
  </si>
  <si>
    <t>Total (în baze cash) (rd.27+30)</t>
  </si>
  <si>
    <t>Dobânzi   de încasat aferente disponibilităţilor   instituţiilor publice la  instituţiile de credit rezidente   (ct.5180702)</t>
  </si>
  <si>
    <t>Total ( în baze accrual)( rd.31+32)</t>
  </si>
  <si>
    <r>
      <rPr>
        <sz val="11"/>
        <rFont val="Arial"/>
        <family val="2"/>
        <charset val="238"/>
      </rPr>
      <t>Depozite</t>
    </r>
    <r>
      <rPr>
        <i/>
        <sz val="11"/>
        <rFont val="Arial"/>
        <family val="2"/>
        <charset val="238"/>
      </rPr>
      <t xml:space="preserve"> </t>
    </r>
    <r>
      <rPr>
        <sz val="11"/>
        <rFont val="Arial"/>
        <family val="2"/>
        <charset val="238"/>
      </rPr>
      <t xml:space="preserve"> ale instituţiilor publice la  instituţiile de credit </t>
    </r>
    <r>
      <rPr>
        <i/>
        <sz val="11"/>
        <rFont val="Arial"/>
        <family val="2"/>
        <charset val="238"/>
      </rPr>
      <t>rezidente              (</t>
    </r>
    <r>
      <rPr>
        <sz val="11"/>
        <rFont val="Arial"/>
        <family val="2"/>
        <charset val="238"/>
      </rPr>
      <t>ct  5150302 +ct. 5620402)</t>
    </r>
  </si>
  <si>
    <t>Dobânzi   de încasat aferente  depozitelor  instituţiilor publice la  instituţiile de credit rezidente   (ct.5180702)</t>
  </si>
  <si>
    <t>Total ( în baze accrual)( rd.34+35)</t>
  </si>
  <si>
    <r>
      <rPr>
        <b/>
        <sz val="11"/>
        <rFont val="Arial"/>
        <family val="2"/>
        <charset val="238"/>
      </rPr>
      <t xml:space="preserve"> </t>
    </r>
    <r>
      <rPr>
        <b/>
        <i/>
        <sz val="11"/>
        <rFont val="Arial"/>
        <family val="2"/>
        <charset val="238"/>
      </rPr>
      <t xml:space="preserve">-disponibilităţi la </t>
    </r>
    <r>
      <rPr>
        <b/>
        <i/>
        <u/>
        <sz val="11"/>
        <rFont val="Arial"/>
        <family val="2"/>
        <charset val="238"/>
      </rPr>
      <t>alţi rezidenţi</t>
    </r>
  </si>
  <si>
    <t>Disponibilităţi   ale instituţiilor publice aflate la alţi rezidenţi (terţi) (ct.4610109+ct.4610209+ ct.2670108+ct.2670208)</t>
  </si>
  <si>
    <t>Total (în baze cash)( rd.46)</t>
  </si>
  <si>
    <t>A.3</t>
  </si>
  <si>
    <t>Alte disponibilităţi</t>
  </si>
  <si>
    <t xml:space="preserve"> -disponibilităţi la bănci în străinătate</t>
  </si>
  <si>
    <t>Disponibilităţi ale reprezentanţelor din străinătate          (ct.5120402)</t>
  </si>
  <si>
    <t>Dobânzi de încasat aferente disponibilităţilor, reprezentanţelor din străinătate   (ct.5180702)</t>
  </si>
  <si>
    <t>Total (în baze accrual) (rd.57+58)</t>
  </si>
  <si>
    <t>Avansuri de trezorerie, acordate  (ct. 5420200)</t>
  </si>
  <si>
    <t>Acreditive la instituţii de credit în  străinătate (ct.5410202)</t>
  </si>
  <si>
    <t>TITLURI, ALTELE DECAT ACTIUNI, din care:</t>
  </si>
  <si>
    <t>Titluri, altele decât acţiuni, exclusiv produsele  financiare derivate</t>
  </si>
  <si>
    <t xml:space="preserve">B.2
</t>
  </si>
  <si>
    <t xml:space="preserve"> Titluri pe termen lung, altele decât acţiuni şi produse financiare derivate</t>
  </si>
  <si>
    <t xml:space="preserve">Obligaţiuni  şi alte titluri deţinute în contul creanţelor bugetare  (ct.2650000 - ct.2960200). Total ( rd.74+75+76+77+78),                               din care emise de:  </t>
  </si>
  <si>
    <t xml:space="preserve">      -Banca centrală (S121)</t>
  </si>
  <si>
    <t xml:space="preserve">      -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</si>
  <si>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 129)</t>
  </si>
  <si>
    <t xml:space="preserve">      -Nerezidenţi (State membre şi instituţii şi organisme ale Uniunii Europene, State nonmembre şi organizaţii internaţionale nerezidente ale Uniunii Europene) (S21,S22)</t>
  </si>
  <si>
    <t xml:space="preserve">      -Societăţi nefinanciare  (S11)</t>
  </si>
  <si>
    <t>I</t>
  </si>
  <si>
    <r>
      <rPr>
        <b/>
        <sz val="11"/>
        <rFont val="Arial"/>
        <family val="2"/>
        <charset val="238"/>
      </rPr>
      <t>Total (</t>
    </r>
    <r>
      <rPr>
        <sz val="11"/>
        <rFont val="Arial"/>
        <family val="2"/>
        <charset val="238"/>
      </rPr>
      <t xml:space="preserve"> rd.73)</t>
    </r>
  </si>
  <si>
    <t>CREDITE ACORDATE, din care:</t>
  </si>
  <si>
    <t>C1</t>
  </si>
  <si>
    <t>Credite pe termen scurt -  acordate</t>
  </si>
  <si>
    <t>Credite  pe termen scurt acordate din bugetul instituţiilor publice superioare   instituţiilor publice din subordine (ct.4680101) (S1314)</t>
  </si>
  <si>
    <r>
      <rPr>
        <sz val="11"/>
        <color indexed="8"/>
        <rFont val="Arial"/>
        <family val="2"/>
        <charset val="238"/>
      </rPr>
      <t xml:space="preserve">Credite pe termen </t>
    </r>
    <r>
      <rPr>
        <b/>
        <sz val="11"/>
        <color indexed="8"/>
        <rFont val="Arial"/>
        <family val="2"/>
        <charset val="238"/>
      </rPr>
      <t xml:space="preserve">scurt </t>
    </r>
    <r>
      <rPr>
        <sz val="11"/>
        <color indexed="8"/>
        <rFont val="Arial"/>
        <family val="2"/>
        <charset val="238"/>
      </rPr>
      <t>acordate din bugetul instituţiilor centrale, (ct. 2670104+ct.2670105+ct.4680101+ct.4680104).                                          Total  (rd.94+95), din care:</t>
    </r>
  </si>
  <si>
    <t xml:space="preserve">   - Gospodariile populaţiei (S14)</t>
  </si>
  <si>
    <t>Total (în baze cash)( rd.92+93)</t>
  </si>
  <si>
    <t>Dobânzi de încasat aferente creditelor pe termen scurt acordate din bugetul instituţiilor centrale                               ct.2670604+ct.2670605+ct.4690109) Total  (rd.98+99), din care:</t>
  </si>
  <si>
    <r>
      <rPr>
        <b/>
        <sz val="11"/>
        <rFont val="Arial"/>
        <family val="2"/>
        <charset val="238"/>
      </rPr>
      <t xml:space="preserve">Total </t>
    </r>
    <r>
      <rPr>
        <sz val="11"/>
        <rFont val="Arial"/>
        <family val="2"/>
        <charset val="238"/>
      </rPr>
      <t>(în baze accrual) (cash+dobânzi) (rd.96+97)</t>
    </r>
  </si>
  <si>
    <t>C2</t>
  </si>
  <si>
    <t xml:space="preserve">Credite pe termen lung - acordate                                </t>
  </si>
  <si>
    <t>Credite pe termen lung acordate din bugetul instituţiilor centrale   (ct. 2670204+ct.2670205).Total (rd.112+113) din care acordate :</t>
  </si>
  <si>
    <t>Total (în baze cash)( rd.111)</t>
  </si>
  <si>
    <t>Dobânzi de încasat aferente creditelor pe termen lung  acordate din bugetul instituţiilor centrale       (ct. ct.2670604+ct.2670605).      Total (rd.116+117) din care acordate :</t>
  </si>
  <si>
    <r>
      <rPr>
        <b/>
        <sz val="11"/>
        <rFont val="Arial"/>
        <family val="2"/>
        <charset val="238"/>
      </rPr>
      <t>Total</t>
    </r>
    <r>
      <rPr>
        <sz val="11"/>
        <rFont val="Arial"/>
        <family val="2"/>
        <charset val="238"/>
      </rPr>
      <t xml:space="preserve"> (în baze accrual) </t>
    </r>
    <r>
      <rPr>
        <i/>
        <sz val="11"/>
        <rFont val="Arial"/>
        <family val="2"/>
        <charset val="238"/>
      </rPr>
      <t>(cash+dobânzi) (rd.114+115)</t>
    </r>
  </si>
  <si>
    <t>ACTIUNI SI ALTE PARTICIPATII</t>
  </si>
  <si>
    <t xml:space="preserve">D.1
</t>
  </si>
  <si>
    <r>
      <rPr>
        <b/>
        <i/>
        <sz val="11"/>
        <rFont val="Arial"/>
        <family val="2"/>
        <charset val="238"/>
      </rPr>
      <t>Acţiuni cotate</t>
    </r>
    <r>
      <rPr>
        <sz val="11"/>
        <rFont val="Arial"/>
        <family val="2"/>
        <charset val="238"/>
      </rPr>
      <t xml:space="preserve"> (se includ şi acţiunile deţinute de instituţiile publice provenite din conversia creanţelor bugetare în acţiuni )</t>
    </r>
  </si>
  <si>
    <t>Acţiuni cotate deţinute de instituţiile de asigurări la societăţi nefinanciare (ct.2600100 - ct.2960101) (S11)</t>
  </si>
  <si>
    <t>Acţiuni cotate deţinute de instituţiile de asigurări la societăţi care acceptă depozite, exclusiv banca centrală   (ct.2600100 - ct.2960101) (S122)</t>
  </si>
  <si>
    <t>Acţiuni cotate deţinute de instituţiile de asigurări la societăţi de asigurări rezidente (Societăţi de asigurare, Fonduri de pensii) (ct.2600100-ct.2960101) (S128, S.129))</t>
  </si>
  <si>
    <r>
      <rPr>
        <b/>
        <sz val="11"/>
        <rFont val="Arial"/>
        <family val="2"/>
        <charset val="238"/>
      </rPr>
      <t xml:space="preserve">Total </t>
    </r>
    <r>
      <rPr>
        <i/>
        <sz val="11"/>
        <rFont val="Arial"/>
        <family val="2"/>
        <charset val="238"/>
      </rPr>
      <t>(</t>
    </r>
    <r>
      <rPr>
        <sz val="11"/>
        <rFont val="Arial"/>
        <family val="2"/>
        <charset val="238"/>
      </rPr>
      <t>la val. ctb. netă = la valoarea de intrare mai putin ajustările cumulate pentru pierderea de valoare) (rd.133+134+135)</t>
    </r>
  </si>
  <si>
    <t xml:space="preserve">D.2
</t>
  </si>
  <si>
    <r>
      <rPr>
        <b/>
        <i/>
        <sz val="11"/>
        <rFont val="Arial"/>
        <family val="2"/>
        <charset val="238"/>
      </rPr>
      <t xml:space="preserve">Acţiuni necotate </t>
    </r>
    <r>
      <rPr>
        <sz val="11"/>
        <rFont val="Arial"/>
        <family val="2"/>
        <charset val="238"/>
      </rPr>
      <t xml:space="preserve">(se includ şi acţiunile deţinute de instituţiile publice provenite din conversia creanţelor bugetare în acţiuni ) </t>
    </r>
  </si>
  <si>
    <t>Acţiuni necotate deţinute de instituţiile de asigurări la societăţi nefinanciare (ct.2600200 - ct.2960102)  (S11);</t>
  </si>
  <si>
    <t>Acţiuni necotate deţinute de instituţiile de asigurări la societăţi care acceptă depozite, exclusiv banca centrală  (ct.2600200 - ct.2960102) (S122);</t>
  </si>
  <si>
    <t>Acţiuni necotate deţinute de instituţiile de asigurări  la societăţi de asigurări rezidente (Societăţi de asigurare, Fonduri de pensii) (ct.2600200 -2960102) (S128, S 129)</t>
  </si>
  <si>
    <r>
      <rPr>
        <b/>
        <sz val="11"/>
        <rFont val="Arial"/>
        <family val="2"/>
        <charset val="238"/>
      </rPr>
      <t xml:space="preserve">Total </t>
    </r>
    <r>
      <rPr>
        <sz val="11"/>
        <rFont val="Arial"/>
        <family val="2"/>
        <charset val="238"/>
      </rPr>
      <t>(la valoarea contabila netă la valoarea de intrare mai puţin ajustările cumulate pentru pierderea de valoare) (rd.141+142+143)</t>
    </r>
  </si>
  <si>
    <t>D.4.</t>
  </si>
  <si>
    <t>Alte participatii</t>
  </si>
  <si>
    <t xml:space="preserve">1
</t>
  </si>
  <si>
    <t>Participaţiile institutiilor de asigurari la alte societăţi care nu sunt organizate pe acţiuni (regii autonome,   srl, comandită,  etc) (ct.2600300 -2960103)</t>
  </si>
  <si>
    <r>
      <rPr>
        <b/>
        <sz val="11"/>
        <rFont val="Arial"/>
        <family val="2"/>
        <charset val="238"/>
      </rPr>
      <t xml:space="preserve">Total </t>
    </r>
    <r>
      <rPr>
        <sz val="11"/>
        <rFont val="Arial"/>
        <family val="2"/>
        <charset val="238"/>
      </rPr>
      <t>(la valoarea de intrare mai puţin ajustările cumulate pentru pierderea de valoare) (rd.151)</t>
    </r>
  </si>
  <si>
    <t>E</t>
  </si>
  <si>
    <t>ALTE CONTURI DE PRIMIT</t>
  </si>
  <si>
    <t>E.1</t>
  </si>
  <si>
    <t xml:space="preserve">Credite comerciale şi avansuri acordate </t>
  </si>
  <si>
    <r>
      <rPr>
        <sz val="11"/>
        <color indexed="8"/>
        <rFont val="Arial"/>
        <family val="2"/>
        <charset val="238"/>
      </rPr>
      <t xml:space="preserve">Creanţe comerciale </t>
    </r>
    <r>
      <rPr>
        <b/>
        <sz val="11"/>
        <color indexed="8"/>
        <rFont val="Arial"/>
        <family val="2"/>
        <charset val="238"/>
      </rPr>
      <t xml:space="preserve">necurente </t>
    </r>
    <r>
      <rPr>
        <sz val="11"/>
        <color indexed="8"/>
        <rFont val="Arial"/>
        <family val="2"/>
        <charset val="238"/>
      </rPr>
      <t>legate de livrări de bunuri şi servicii ale instituţiilor publice (ct.4110201+ct.4110208+ct.4130200+ct.4610201-ct.4910200 -ct.4960200)   Total  (rd.163+164+165+169), din care:</t>
    </r>
  </si>
  <si>
    <t xml:space="preserve">   -de la gospodariile populatiei (S14)</t>
  </si>
  <si>
    <t xml:space="preserve">      -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</si>
  <si>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</si>
  <si>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</si>
  <si>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</si>
  <si>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</si>
  <si>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-Alţi rezidenţi (Alţi intermediari financiari, exclusiv societăţile de asigurare şi fondurile de pensii, Auxiliari financiari, Societăţi de asigurare, Fondurile de pensii) ( S 125, S 126, S 128, S 129)</t>
  </si>
  <si>
    <t>168.1</t>
  </si>
  <si>
    <t>Creanţele unităţilor sanitare cu paturi faţă de  Casele de Sănătate</t>
  </si>
  <si>
    <t>168.2</t>
  </si>
  <si>
    <t xml:space="preserve">   -de la nerezidenţi  (State membre şi instituţii şi organisme ale Uniunii Europene, State nonmembre şi organizaţii internaţionale nerezidente ale Uniunii Europene) (S21,S22)</t>
  </si>
  <si>
    <r>
      <rPr>
        <sz val="11"/>
        <color indexed="8"/>
        <rFont val="Arial"/>
        <family val="2"/>
        <charset val="238"/>
      </rPr>
      <t xml:space="preserve"> Creanţe comerciale </t>
    </r>
    <r>
      <rPr>
        <b/>
        <sz val="11"/>
        <color indexed="8"/>
        <rFont val="Arial"/>
        <family val="2"/>
        <charset val="238"/>
      </rPr>
      <t>curente l</t>
    </r>
    <r>
      <rPr>
        <sz val="11"/>
        <color indexed="8"/>
        <rFont val="Arial"/>
        <family val="2"/>
        <charset val="238"/>
      </rPr>
      <t>egate de livrări de bunuri şi servicii ale instituţiilor publice (ct.2320000+ct.2340000+ct.4090101+ct.4090102+ct.4110101+ ct.4110108+ct.4130100+ct.4180000+ct.4610101 - ct.4910100-ct.4960100).  Total  (rd.171+172+173+177), din care de la :</t>
    </r>
  </si>
  <si>
    <t xml:space="preserve">   -de la societăţi nefinanciare  (S11), </t>
  </si>
  <si>
    <t xml:space="preserve">   -de la instituţiile publice, din care: (rd.174+175+176)</t>
  </si>
  <si>
    <t xml:space="preserve">              - Administraţia centrală (exclusiv fondurile de securitate socială  (S1311)</t>
  </si>
  <si>
    <t>E.2</t>
  </si>
  <si>
    <t>Alte conturi de primit, exclusiv creditele comerciale şi avansurile</t>
  </si>
  <si>
    <t>Creanţe ale  bugetelor din sistemul de asigurări (ct.4650100+ct.4650200+ct.4660401+ct.4660402+ct.4660500 - ct.4970000)  Total  (rd.182+183+184+188), din care:</t>
  </si>
  <si>
    <t xml:space="preserve">   -de la instituţiile publice, din care: (rd.185+186+187)</t>
  </si>
  <si>
    <t>Total (rd.181)</t>
  </si>
  <si>
    <t>Creanţe din operaţiuni cu Fonduri externe nerambursabile  de la Comisia Europeană / alţi donatori</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</si>
  <si>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</si>
  <si>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</si>
  <si>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</si>
  <si>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</si>
  <si>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Sume de primit de la  Comisia Europeană/alţi donatori reprezentând venituri ale bugetului general consolidat - bugetul asigurărilor sociale de stat - FONDURI EXTERNE NERAMBURSABILE POSTADERARE (ct.4500502)</t>
  </si>
  <si>
    <t>199.1</t>
  </si>
  <si>
    <t>Sume de primit de la  Comisia Europeană/alţi donatori reprezentând venituri ale bugetului general consolidat - bugetele fondurilor speciale - FONDURI EXTERNE NERAMBURSABILE POSTADERARE  (ct.4500503)</t>
  </si>
  <si>
    <t>199.2</t>
  </si>
  <si>
    <t>Sume de primit de la  Comisia Europeană/alţi donatori reprezentând venituri ale bugetului general consolidat-instituţii publice finanţate din venituri proprii/venituri proprii şi  subvenţii - FONDURI EXTERNE NERAMBURSABILE POSTADERARE  (ct.4500505)</t>
  </si>
  <si>
    <t>199.3</t>
  </si>
  <si>
    <t xml:space="preserve"> DATORII FINANCIARE</t>
  </si>
  <si>
    <t>A.2</t>
  </si>
  <si>
    <t xml:space="preserve">Alte depozite </t>
  </si>
  <si>
    <t xml:space="preserve">1
</t>
  </si>
  <si>
    <t xml:space="preserve">Sume datorate terţilor reprezentând garanţii şi cauţiuni aflate în conturile instituţiilor publice     (ct.4280101+ct.4280201+ct.4620109+ct.4620209).   Total (rd.204+205+206),  din care:      
           </t>
  </si>
  <si>
    <t xml:space="preserve">   - instituţiilor publice, din care: (rd.207+208+209)</t>
  </si>
  <si>
    <t>Total (rd.203)</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</si>
  <si>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</si>
  <si>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</si>
  <si>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</si>
  <si>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de asigurări, (ct.5190190+ ct.1610100 - 1690100)                                                       Total (rd.223+224+225+226), din care achizitionate de:</t>
  </si>
  <si>
    <t xml:space="preserve">      -Banca centrală   (S121)</t>
  </si>
  <si>
    <t xml:space="preserve">      - Societăţi care acceptă depozite, exclusiv banca centrală   (S122)</t>
  </si>
  <si>
    <r>
      <rPr>
        <b/>
        <sz val="11"/>
        <rFont val="Arial"/>
        <family val="2"/>
        <charset val="238"/>
      </rPr>
      <t xml:space="preserve">Total </t>
    </r>
    <r>
      <rPr>
        <sz val="11"/>
        <rFont val="Arial"/>
        <family val="2"/>
        <charset val="238"/>
      </rPr>
      <t>(la valoare nominală) (rd.222)</t>
    </r>
  </si>
  <si>
    <t>Dobânzi de plătit pentru împrumuturi pe bază de titluri pe termen scurt, altele decât acţiuni şi produse financiare derivate (ct.1680100+ct.5180604)</t>
  </si>
  <si>
    <t>Total (în baze accrual) (cash+dobânzi) (rd.227+228)</t>
  </si>
  <si>
    <t>B.2</t>
  </si>
  <si>
    <t>ÎMPRUMUTURI PE BAZĂ DE TITLURI   pe termen lung, altele decât acţiuni şi produse financiare derivate)</t>
  </si>
  <si>
    <r>
      <rPr>
        <sz val="11"/>
        <color indexed="8"/>
        <rFont val="Arial"/>
        <family val="2"/>
        <charset val="238"/>
      </rPr>
      <t xml:space="preserve"> Împrumuturi pe bază de titluri pe </t>
    </r>
    <r>
      <rPr>
        <b/>
        <sz val="11"/>
        <color indexed="8"/>
        <rFont val="Arial"/>
        <family val="2"/>
        <charset val="238"/>
      </rPr>
      <t>termen lung a</t>
    </r>
    <r>
      <rPr>
        <sz val="11"/>
        <color indexed="8"/>
        <rFont val="Arial"/>
        <family val="2"/>
        <charset val="238"/>
      </rPr>
      <t>ltele decât acţiuni şi produse financiare derivate emise de către administraţia de asigurări,  (ct.1610200 - 1690200).                                                                            Total (rd.242+243+244+245), din care achiziţionate de:</t>
    </r>
  </si>
  <si>
    <r>
      <rPr>
        <b/>
        <sz val="11"/>
        <rFont val="Arial"/>
        <family val="2"/>
        <charset val="238"/>
      </rPr>
      <t xml:space="preserve">Total </t>
    </r>
    <r>
      <rPr>
        <sz val="11"/>
        <rFont val="Arial"/>
        <family val="2"/>
        <charset val="238"/>
      </rPr>
      <t>(la valoare nominală) (rd.241)</t>
    </r>
  </si>
  <si>
    <t>Dobânzi de plătit pentru împrumuturi pe bază de titluri pe termen lung, altele decât acţiuni şi produse financiare derivate (ct.1680100)</t>
  </si>
  <si>
    <t>Total (în baze accrual) (cash+dobânzi) (rd.246+247)</t>
  </si>
  <si>
    <t>CREDITE PRIMITE, din care:</t>
  </si>
  <si>
    <t>C.1</t>
  </si>
  <si>
    <t>Credite pe termen scurt primite</t>
  </si>
  <si>
    <t>Credite pe termen scurt primite din bugetul instituţiilor centrale de către  instituţiile publice subordonate (ct.5190190)  (S1314)</t>
  </si>
  <si>
    <r>
      <rPr>
        <b/>
        <sz val="11"/>
        <rFont val="Arial"/>
        <family val="2"/>
        <charset val="238"/>
      </rPr>
      <t>Total</t>
    </r>
    <r>
      <rPr>
        <sz val="11"/>
        <rFont val="Arial"/>
        <family val="2"/>
        <charset val="238"/>
      </rPr>
      <t xml:space="preserve"> (în baze cash)(rd.262+266+267)</t>
    </r>
  </si>
  <si>
    <t>Dobânzi de plătit aferente creditelor pe termen scurt contractate  de instituţiile publice din administraţia de asigurări  (ct.1680400+ct.1680500+ct.1680701+ct.1680703+ct.1680709+ ct.5180606+ct.5180608+ct.5180609).                                                    Total (rd.270+271+272) din care acordate de:</t>
  </si>
  <si>
    <t>Dobanzi de plătit aferente creditelor pe termen scurt primite din contul curent general al trezoreriei statului (ct.1680702+ct.5180605)  (S1311)</t>
  </si>
  <si>
    <r>
      <rPr>
        <b/>
        <sz val="11"/>
        <rFont val="Arial"/>
        <family val="2"/>
        <charset val="238"/>
      </rPr>
      <t>Total (</t>
    </r>
    <r>
      <rPr>
        <sz val="11"/>
        <rFont val="Arial"/>
        <family val="2"/>
        <charset val="238"/>
      </rPr>
      <t>dobânzi  de plătit ) (rd.269+273)</t>
    </r>
  </si>
  <si>
    <r>
      <rPr>
        <b/>
        <sz val="11"/>
        <rFont val="Arial"/>
        <family val="2"/>
        <charset val="238"/>
      </rPr>
      <t xml:space="preserve">Total </t>
    </r>
    <r>
      <rPr>
        <sz val="11"/>
        <rFont val="Arial"/>
        <family val="2"/>
        <charset val="238"/>
      </rPr>
      <t>(în baze accrual) (cash+dobânzi) (rd.268+274)</t>
    </r>
  </si>
  <si>
    <t xml:space="preserve">      - Societăţi care acceptă depozite, exclusiv banca centrală   (S122    (În cazul refinanţării fără regres a unei creanţe asupra guvernului) </t>
  </si>
  <si>
    <t xml:space="preserve">     -Alti intermediari financiari, exclusiv societăţile de asigurare şi fondurile de pensii  (S125) (In cazul refinanţării fără regres a unei creanţe asupra guvernului) </t>
  </si>
  <si>
    <t xml:space="preserve">     -Societăţi nefinanciare (S11)  (În cazul restructurării creditelor comerciale)</t>
  </si>
  <si>
    <t xml:space="preserve">     -Societăţi care acceptă depozite, exclusiv banca centrală     (S122)   (În cazul refinanţării fără regres a unei creanţe asupra guvernului) </t>
  </si>
  <si>
    <t>C.2</t>
  </si>
  <si>
    <t>Credite pe termen lung primite</t>
  </si>
  <si>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</si>
  <si>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</si>
  <si>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Total (în baze cash)(rd.286+290)</t>
  </si>
  <si>
    <r>
      <rPr>
        <sz val="11"/>
        <color indexed="8"/>
        <rFont val="Arial"/>
        <family val="2"/>
        <charset val="238"/>
      </rPr>
      <t xml:space="preserve">Dobânzi de plătit aferente creditelor pe termen lung  primite (contractate garantate, asimilate, etc.)   de autorităţile din sistemul de asigurări (ct.1680400+ct.1680500+ct.1680701+ct.1680703+ct.1680709).                                                                                            Total (rd.293+294+295), din care acordate de </t>
    </r>
    <r>
      <rPr>
        <i/>
        <sz val="11"/>
        <color indexed="8"/>
        <rFont val="Arial"/>
        <family val="2"/>
        <charset val="238"/>
      </rPr>
      <t>:</t>
    </r>
  </si>
  <si>
    <r>
      <rPr>
        <i/>
        <sz val="11"/>
        <rFont val="Arial"/>
        <family val="2"/>
        <charset val="238"/>
      </rPr>
      <t xml:space="preserve"> - Societăţi care acceptă depozite, exclusiv banca centrală</t>
    </r>
    <r>
      <rPr>
        <sz val="11"/>
        <rFont val="Arial"/>
        <family val="2"/>
        <charset val="238"/>
      </rPr>
      <t xml:space="preserve">   (S122)</t>
    </r>
  </si>
  <si>
    <t>Dobânzi de plătit aferente creditelor  pe termen lung  primite din contul curent general al trezoreriei statului de către  autorităţile din sistemul de asigurări  (ct.1680702)    (S1311)</t>
  </si>
  <si>
    <t>Total (dobânzi  de plătit ) (rd.292+296)</t>
  </si>
  <si>
    <r>
      <rPr>
        <b/>
        <sz val="11"/>
        <rFont val="Arial"/>
        <family val="2"/>
        <charset val="238"/>
      </rPr>
      <t xml:space="preserve">Total </t>
    </r>
    <r>
      <rPr>
        <sz val="11"/>
        <rFont val="Arial"/>
        <family val="2"/>
        <charset val="238"/>
      </rPr>
      <t xml:space="preserve">(în baze accrual) (cash+dobânzi)     (rd.291+297)    </t>
    </r>
  </si>
  <si>
    <t>ALTE CONTURI DE PLATIT</t>
  </si>
  <si>
    <t>Credite comerciale şi avansuri primite</t>
  </si>
  <si>
    <r>
      <rPr>
        <sz val="11"/>
        <color indexed="8"/>
        <rFont val="Arial"/>
        <family val="2"/>
        <charset val="238"/>
      </rPr>
      <t xml:space="preserve">Datorii comerciale </t>
    </r>
    <r>
      <rPr>
        <b/>
        <sz val="11"/>
        <color indexed="8"/>
        <rFont val="Arial"/>
        <family val="2"/>
        <charset val="238"/>
      </rPr>
      <t>necurente</t>
    </r>
    <r>
      <rPr>
        <sz val="11"/>
        <color indexed="8"/>
        <rFont val="Arial"/>
        <family val="2"/>
        <charset val="238"/>
      </rPr>
      <t xml:space="preserve"> legate de livrări de bunuri şi servicii către instituţiile publice din administraţia de asigurări  (ct.4010200+ct.4030200+ct.4040200+ct. 4050200+ct.4620201)            Total (rd.313+314+318+319)  din care către: </t>
    </r>
  </si>
  <si>
    <t xml:space="preserve">        -Instituţii publice, din care (rd.315+316+317): </t>
  </si>
  <si>
    <t xml:space="preserve"> Datorii comerciale curente legate de livrări de bunuri şi servicii către instituţiile publice din administraţia de asigurări (ct.4010100+ct.4030100+ct.4040100 +ct. 4050100+ct.4080000 + ct.4190000 +ct.4620101)                                                                             Total (rd.319.2+319.3+319.7+319.8),  din care către: </t>
  </si>
  <si>
    <t>319.1</t>
  </si>
  <si>
    <t>319.2</t>
  </si>
  <si>
    <t xml:space="preserve">        -Instituţii publice, din care (rd.319.4+319.5+319.6): </t>
  </si>
  <si>
    <t>319.3</t>
  </si>
  <si>
    <t>319.4</t>
  </si>
  <si>
    <t>din care datoriile Caselor de Sănătate faţă de unităţile sanitare cu paturi din administratia centrală</t>
  </si>
  <si>
    <t>319.4.1</t>
  </si>
  <si>
    <t>319.5</t>
  </si>
  <si>
    <t>din care datoriile Caselor de Sănătate faţă de unităţile sanitare cu paturi din administratia locală</t>
  </si>
  <si>
    <t>319.5.1</t>
  </si>
  <si>
    <t>319.6</t>
  </si>
  <si>
    <t>319.7</t>
  </si>
  <si>
    <t>319.8</t>
  </si>
  <si>
    <t>Alte datorii de plătit exclusiv creditele comerciale şi avansuri</t>
  </si>
  <si>
    <r>
      <rPr>
        <sz val="11"/>
        <color indexed="8"/>
        <rFont val="Arial"/>
        <family val="2"/>
        <charset val="238"/>
      </rPr>
      <t>Salariile angajatilor      (ct 4210000+4230000+</t>
    </r>
    <r>
      <rPr>
        <sz val="11"/>
        <color indexed="8"/>
        <rFont val="Arial"/>
        <family val="2"/>
      </rPr>
      <t>4260000 +427010</t>
    </r>
    <r>
      <rPr>
        <sz val="11"/>
        <color indexed="8"/>
        <rFont val="Arial"/>
        <family val="2"/>
        <charset val="238"/>
      </rPr>
      <t xml:space="preserve">0+ 4270300 +4280101)                                                                </t>
    </r>
  </si>
  <si>
    <t>Alte drepturi cuvenite altor  categorii de persoane                                    (ct. 4220100+ct.4220200+ct.4240000+ct.4260000+ ct.4270200+ ct.4270300+ct.4380000 )</t>
  </si>
  <si>
    <t>Total (rd.321+322+323)</t>
  </si>
  <si>
    <t>Avansuri primite de la Autorităţile de Certificare/Autorităţile de Management/Agenţiile de Plăţi - FONDURI EXTERNE NERAMBURSABILE POSTADERARE ŞI FONDURI DE LA BUGET   (ct.4580501+ct.4580502)</t>
  </si>
  <si>
    <t xml:space="preserve">Alte datorii </t>
  </si>
  <si>
    <t>Provizioane necurente (ct.1510201+ct.1510202+ct.1510203+ct.1510204+ct.1510208), din care:</t>
  </si>
  <si>
    <t>Provizioane necurente, constituite conform O.M.F.P. 416/2013 reprezentând arierate în litigiu (din soldul ct.1510201).</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</si>
  <si>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</si>
  <si>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</si>
  <si>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</si>
  <si>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</si>
  <si>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(ct.1510101+ct.1510102+ct.1510103+ct.1510104+ct.1510108) din care:</t>
  </si>
  <si>
    <t>Provizioane curente, constituite conform O.M.F.P. 416/2013 reprezentând arierate în litigiu (din soldul ct.1510101).</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</si>
  <si>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</si>
  <si>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</si>
  <si>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</si>
  <si>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</si>
  <si>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E.3</t>
  </si>
  <si>
    <t>Plati restante</t>
  </si>
  <si>
    <t xml:space="preserve">        -Instituţii publice, din care (rd.339+340+341): </t>
  </si>
  <si>
    <t>Creditori bugetari (ct.467)</t>
  </si>
  <si>
    <r>
      <rPr>
        <b/>
        <sz val="11"/>
        <rFont val="Arial"/>
        <family val="2"/>
        <charset val="238"/>
      </rPr>
      <t>Total(rd.336+344+345+346+347+351+355</t>
    </r>
    <r>
      <rPr>
        <sz val="11"/>
        <rFont val="Arial"/>
        <family val="2"/>
        <charset val="238"/>
      </rPr>
      <t>)</t>
    </r>
  </si>
  <si>
    <t>NOTĂ</t>
  </si>
  <si>
    <t xml:space="preserve"> Denumire</t>
  </si>
  <si>
    <t>utilizator</t>
  </si>
  <si>
    <t>Cod SEC 2010</t>
  </si>
  <si>
    <t>Sistemului European de Conturi (SEC' 95)</t>
  </si>
  <si>
    <t xml:space="preserve">      în</t>
  </si>
  <si>
    <t>Anexa 40</t>
  </si>
  <si>
    <t xml:space="preserve">Societăţi nefinanciare </t>
  </si>
  <si>
    <t>S.11</t>
  </si>
  <si>
    <t xml:space="preserve">Societăţi financiare </t>
  </si>
  <si>
    <t>S.12</t>
  </si>
  <si>
    <t xml:space="preserve">   Banca centrală </t>
  </si>
  <si>
    <t>S.121</t>
  </si>
  <si>
    <t xml:space="preserve">   Societăţi care acceptă depozite, exclusiv banca centrală                                                              </t>
  </si>
  <si>
    <t>S.122</t>
  </si>
  <si>
    <t>Fonduri de piaţă monetară</t>
  </si>
  <si>
    <t xml:space="preserve">    S.123</t>
  </si>
  <si>
    <t>Fonduri de investiţii, altele decât fondurile de piaţă monetară</t>
  </si>
  <si>
    <t xml:space="preserve">    S.124</t>
  </si>
  <si>
    <t>Alţi intermediari financiari, exclusiv societăţile de asigurare şi fondurile de pensii</t>
  </si>
  <si>
    <t xml:space="preserve">    S.125</t>
  </si>
  <si>
    <t>Auxiliari financiari</t>
  </si>
  <si>
    <t xml:space="preserve">    S. 126</t>
  </si>
  <si>
    <t>Societăţi de asigurare (SA)</t>
  </si>
  <si>
    <t xml:space="preserve">    S. 128</t>
  </si>
  <si>
    <t>Fondurile de pensii (FP)</t>
  </si>
  <si>
    <t xml:space="preserve">   S. 129</t>
  </si>
  <si>
    <t>Administraţii publice</t>
  </si>
  <si>
    <t>S.13</t>
  </si>
  <si>
    <t xml:space="preserve">  Administraţia centrală (exclusiv fondurile de securitate socială)</t>
  </si>
  <si>
    <t>S.1311</t>
  </si>
  <si>
    <t xml:space="preserve">  Administraţiile  locale (exclusiv fondurile de securitate socială)</t>
  </si>
  <si>
    <t>S.1313</t>
  </si>
  <si>
    <t>Fonduri de securitate socială</t>
  </si>
  <si>
    <t>S.1314</t>
  </si>
  <si>
    <t>Gospodariile populatiei</t>
  </si>
  <si>
    <t>S 14</t>
  </si>
  <si>
    <t>Restul lumii</t>
  </si>
  <si>
    <t>S.2</t>
  </si>
  <si>
    <t>State membre şi instituţii şi organisme ale Uniunii Europene</t>
  </si>
  <si>
    <t xml:space="preserve">  S.21</t>
  </si>
  <si>
    <t>State membre ale Uniunii europeane</t>
  </si>
  <si>
    <t>S.211</t>
  </si>
  <si>
    <t>Instituţii şi organisme ale Uniunii europene</t>
  </si>
  <si>
    <t>S.212</t>
  </si>
  <si>
    <t>State nonmembre şi organizaţii internaţionale nerezidente ale Uniunii Europene</t>
  </si>
  <si>
    <t xml:space="preserve">  S.22</t>
  </si>
  <si>
    <t>CONTUL DE EXECUTIE A BUGETULUI INSTITUTIEI PUBLICE - VENITURI</t>
  </si>
  <si>
    <t>cod 20</t>
  </si>
  <si>
    <t>Denumirea indicatorilor *)</t>
  </si>
  <si>
    <t>Cod indicator</t>
  </si>
  <si>
    <t>Pevederi bugetare</t>
  </si>
  <si>
    <t xml:space="preserve">Drepturi constatate                        </t>
  </si>
  <si>
    <t>Încasari realizate</t>
  </si>
  <si>
    <t>Stingeri pe alte căi decât încasări</t>
  </si>
  <si>
    <t>Drepturi constatate de încasat</t>
  </si>
  <si>
    <t>din anul curent</t>
  </si>
  <si>
    <t>3=4+5</t>
  </si>
  <si>
    <t>8=3-6-7</t>
  </si>
  <si>
    <t>VENITURI -TOTAL</t>
  </si>
  <si>
    <t>0001</t>
  </si>
  <si>
    <t xml:space="preserve">I. VENITURI CURENTE          </t>
  </si>
  <si>
    <t>0002</t>
  </si>
  <si>
    <t>A4 - Impozite şi taxe pe bunuri şi servicii</t>
  </si>
  <si>
    <t>1200</t>
  </si>
  <si>
    <t>Alte impozite şi taxe generale pe bunuri şi servicii</t>
  </si>
  <si>
    <t>Venituri din contribuţia datorată pentru medicamente finanţate din FNUASS şi din bugetul Ministerului Sănătăţii</t>
  </si>
  <si>
    <t>12.09</t>
  </si>
  <si>
    <t>Venituri din contribuţia datorată pentru medicamente finanţate din FNUASS până la data de 30 septembrie 2011</t>
  </si>
  <si>
    <t>12.10</t>
  </si>
  <si>
    <t>Venituri din contribuţia datorată pentru contractele cost-volum/ cost-volum-rezultat</t>
  </si>
  <si>
    <t>12.14</t>
  </si>
  <si>
    <t>Venituri din contribuţia datorată pentru volume de medicamente consumate care depăşesc volumele stabilite prin contracte</t>
  </si>
  <si>
    <t>12.15</t>
  </si>
  <si>
    <t xml:space="preserve">B. CONTRIBUTII DE ASIGURARI            </t>
  </si>
  <si>
    <t>2000</t>
  </si>
  <si>
    <t xml:space="preserve">CONTRIBUTIILE ANGAJATORILOR  </t>
  </si>
  <si>
    <t>20</t>
  </si>
  <si>
    <t>Contributii de asigurari sociale de sanatate datorate de angajatori</t>
  </si>
  <si>
    <t>20.03</t>
  </si>
  <si>
    <t>Contributii de la persoane juridice sau fizice care angajeaza personal salariat</t>
  </si>
  <si>
    <t>20.03.01</t>
  </si>
  <si>
    <t>Contributii pt. asigurari sociale de sanatate datorate de persoanele aflate in somaj</t>
  </si>
  <si>
    <t>20.03.02</t>
  </si>
  <si>
    <t>20.03.03</t>
  </si>
  <si>
    <t>Contributii pentru concedii si indemnizatii datorate de persoanele aflate in somaj</t>
  </si>
  <si>
    <t xml:space="preserve">Contributia suportata de angajator pentru concedii si indemnizatii datorata de persoanele aflate in incapacitate temporara de munca din cauza de accident de munca sau boala profesionala </t>
  </si>
  <si>
    <t>20.03.06</t>
  </si>
  <si>
    <t>CONTRIBUTIILE ASIGURATILOR</t>
  </si>
  <si>
    <t>21</t>
  </si>
  <si>
    <t>Contributii de asigurari sociale de sanatate datorate de asigurati</t>
  </si>
  <si>
    <t>21.03</t>
  </si>
  <si>
    <t>Contributia datorata de persoane asigurate care au calitatea de angajat</t>
  </si>
  <si>
    <t>21.03.01</t>
  </si>
  <si>
    <t>Contributia de asigurări sociale de sănătate datorate de persoane care realizează venituri din activităţi independente şi alte activităţi şi persoanele care nu realizează venituri</t>
  </si>
  <si>
    <t>21.03.02</t>
  </si>
  <si>
    <t>Contributia datorata de  pensionari</t>
  </si>
  <si>
    <t>21.03.04</t>
  </si>
  <si>
    <t>Contribuţia individuală de asigurări sociale de sănătate datorată de persoanele care realiztează venituri din drepturi de proprietate intelectuală</t>
  </si>
  <si>
    <t>21.16</t>
  </si>
  <si>
    <t>Contribuţia individuală de asigurări sociale de sănătate datorată de persoanele care realiztează venituri din activităţi desfăşurate în baza contractelor/ convenţiloor civile încheiate potrivit Codului civil, precum şi a contractelor de agent</t>
  </si>
  <si>
    <t>21.17</t>
  </si>
  <si>
    <t>Contribuţia individuală de asigurări sociale de sănătate datorată de persoanele care realiztează venituri din activitatea de expertiza contabilă şi tehnică, judiciară şi extrajudiciară</t>
  </si>
  <si>
    <t>21.18</t>
  </si>
  <si>
    <t>Contribuţia individuală de asigurări sociale de sănătate datorată de persoanele care realizează venitul obţinut dintr-o asociere ci o microintreprindere care nu generează o persoană juridică</t>
  </si>
  <si>
    <t>21.19</t>
  </si>
  <si>
    <t xml:space="preserve">Contributii de asig.soc de sanatate datorata de persoanele care realizează venituri, în regim de reţinere la sursa a impozitului pe venit, din asocierile fără personalitate juridică </t>
  </si>
  <si>
    <t>21.20</t>
  </si>
  <si>
    <t xml:space="preserve">Contributii de asig.soc de sanatate datorata de persoanele care realizează venituri, în regim de reţinere la sursa a impozitului pe venit, din activităţi agricole </t>
  </si>
  <si>
    <t>21.21</t>
  </si>
  <si>
    <t>Contribuţia individuală de asigurări sociale de sănătate datorată de persoanele care realizează venituri din arendarea bunurilor agricole</t>
  </si>
  <si>
    <t>21.22</t>
  </si>
  <si>
    <t>Contribuţii individuale datorate de persoanele care realizează venituri din cedarea folosinţei bunurilor</t>
  </si>
  <si>
    <t>21.23</t>
  </si>
  <si>
    <t>Regularizări</t>
  </si>
  <si>
    <t>21.24</t>
  </si>
  <si>
    <t>Alte contributii pentru asigurari sociale datorate de asigurati</t>
  </si>
  <si>
    <t>21.50</t>
  </si>
  <si>
    <t xml:space="preserve">C.VENITURI NEFISCALE         </t>
  </si>
  <si>
    <t>2900</t>
  </si>
  <si>
    <t xml:space="preserve">C1.VENITURI DIN PROPRIETATE       </t>
  </si>
  <si>
    <t>3300</t>
  </si>
  <si>
    <t xml:space="preserve">VENITURI DIN PROPRIETATE       </t>
  </si>
  <si>
    <t>30</t>
  </si>
  <si>
    <t>Alte venituri din proprietate</t>
  </si>
  <si>
    <t>30.50</t>
  </si>
  <si>
    <t>Venituri din dobanzi</t>
  </si>
  <si>
    <t>31</t>
  </si>
  <si>
    <t>Alte venituri din dobanzi</t>
  </si>
  <si>
    <t>31.03</t>
  </si>
  <si>
    <t>C2. VANZARI DE BUNURI SI SERVICII</t>
  </si>
  <si>
    <t>3600</t>
  </si>
  <si>
    <t>DIVERSE VENITURI</t>
  </si>
  <si>
    <t>36</t>
  </si>
  <si>
    <t>Venituri din compensarea creantelor din despagubiri</t>
  </si>
  <si>
    <t>36.24</t>
  </si>
  <si>
    <t xml:space="preserve">Alte venituri </t>
  </si>
  <si>
    <t>36.50</t>
  </si>
  <si>
    <t>TRANSFERURI VOLUNTARE, ALTELE DECAT SUBVENTIILE</t>
  </si>
  <si>
    <t>37</t>
  </si>
  <si>
    <t>Donatii si sponsorizari</t>
  </si>
  <si>
    <t>37.01</t>
  </si>
  <si>
    <t>IV. SUBVENTII</t>
  </si>
  <si>
    <t>4200</t>
  </si>
  <si>
    <t>SUBVENTII DE LA ALTE NIVELE ALE ADMINISTRATIEI PUBLICE</t>
  </si>
  <si>
    <t>SUBVENTII DE LA BUGETUL DE STAT</t>
  </si>
  <si>
    <t>42</t>
  </si>
  <si>
    <t>Contributii de asigurari de sanatate pentru persoane care satisfac serviciul militar in termen</t>
  </si>
  <si>
    <t>42.22</t>
  </si>
  <si>
    <t>Subprogramul de diagnostic genetic al tumorilor solide maligne (sarcom Ewing si neuroblastom) la copii si adulti</t>
  </si>
  <si>
    <t xml:space="preserve"> Programul national de tratament pentru boli rare, din care:</t>
  </si>
  <si>
    <t xml:space="preserve"> Programul national de terapie intensiva a insuficientei hepatice</t>
  </si>
  <si>
    <t>Programe nationale de sanatate curative, din care:</t>
  </si>
  <si>
    <t xml:space="preserve">SINTEZA FINANTARII PROGRAMELOR </t>
  </si>
  <si>
    <t>Denumirea programelor</t>
  </si>
  <si>
    <t xml:space="preserve"> lei </t>
  </si>
  <si>
    <t>TOTAL CHELTUIELI</t>
  </si>
  <si>
    <t>I. Credite de angajament</t>
  </si>
  <si>
    <t>II. Credite bugetare</t>
  </si>
  <si>
    <t>Bugetul fondului national unic de asigurari sociale de sanatate</t>
  </si>
  <si>
    <t xml:space="preserve"> I. Credite de angajament</t>
  </si>
  <si>
    <t xml:space="preserve"> II. Credite bugetare</t>
  </si>
  <si>
    <t>TOTAL PROGRAM</t>
  </si>
  <si>
    <t xml:space="preserve">II. Programul national privind asigurarea servicilor  medicale, a  medicamentelor  si  dispozitivelor medicale  in  cadrul  sistemului de asigurari sociale de sanatate </t>
  </si>
  <si>
    <t>III.  Programul privind medicamentele care fac obiectul contractelor cost volum/cost volum rezultat</t>
  </si>
  <si>
    <t>4808.15</t>
  </si>
  <si>
    <t>4808.15.01</t>
  </si>
  <si>
    <t>4808.15.02</t>
  </si>
  <si>
    <t>Anexa 6</t>
  </si>
  <si>
    <t>CONTUL DE EXECUTIE A BUGETULUI INSTITUTIEI PUBLICE- CHELTUIELI</t>
  </si>
  <si>
    <t>cod 21</t>
  </si>
  <si>
    <t>Denumirea indicatorilor*)</t>
  </si>
  <si>
    <t>Cod</t>
  </si>
  <si>
    <t>Credite de angajament</t>
  </si>
  <si>
    <t>Credite bugetare</t>
  </si>
  <si>
    <t>Angajamente bugetare</t>
  </si>
  <si>
    <t>Angajamente legale</t>
  </si>
  <si>
    <t>Plăţi efectuate</t>
  </si>
  <si>
    <t>Angajamente legale de plătit</t>
  </si>
  <si>
    <t>Cheltuieli efective</t>
  </si>
  <si>
    <t xml:space="preserve">CHELTUIELI- TOTAL      </t>
  </si>
  <si>
    <t>5005</t>
  </si>
  <si>
    <t>Partea a III-a CHELTUIELI SOC-CULTURALE</t>
  </si>
  <si>
    <t>6600.05</t>
  </si>
  <si>
    <t>SANATATE</t>
  </si>
  <si>
    <t>6605</t>
  </si>
  <si>
    <t>Administratia centrala</t>
  </si>
  <si>
    <t>6605.01</t>
  </si>
  <si>
    <t>Servicii publice descentralizate</t>
  </si>
  <si>
    <t>6605.02</t>
  </si>
  <si>
    <t>Produse farmaceutice, materiale sanitare specifice si dispozitive medicale</t>
  </si>
  <si>
    <t>6605.03</t>
  </si>
  <si>
    <t>Medicamente cu si fara contributie personala</t>
  </si>
  <si>
    <t>6605.03.01</t>
  </si>
  <si>
    <t>Medicamente pentru boli cronice cu risc crescut utilizate in programele nationale cu scop curativ</t>
  </si>
  <si>
    <t>6605.03.02</t>
  </si>
  <si>
    <t>Materiale sanitare specifice utilizate in programele nationale cu scop curativ</t>
  </si>
  <si>
    <t>6605.03.03</t>
  </si>
  <si>
    <t>Servicii medicale de hemodializa si dializa peritoneala</t>
  </si>
  <si>
    <t>6605.03.04</t>
  </si>
  <si>
    <t>Dispozitive si echipamente medicale</t>
  </si>
  <si>
    <t>6605.03.05</t>
  </si>
  <si>
    <t>Servicii medicale in ambulator</t>
  </si>
  <si>
    <t>6605.04</t>
  </si>
  <si>
    <t>Asistenta medicala primara</t>
  </si>
  <si>
    <t>6605.04.01</t>
  </si>
  <si>
    <t>Asistenta medicala  pentru specialitati clinice</t>
  </si>
  <si>
    <t>6605.04.02</t>
  </si>
  <si>
    <t>Asistenta medicala stomatologica</t>
  </si>
  <si>
    <t>6605.04.03</t>
  </si>
  <si>
    <t>Asistenta medicala pentru specialitati paraclinice</t>
  </si>
  <si>
    <t>6605.04.04</t>
  </si>
  <si>
    <t>Asist.medicale in centre medicale multifunctionale                                      (servicii medicale de recuperare)</t>
  </si>
  <si>
    <t>6605.04.05</t>
  </si>
  <si>
    <t>Servicii de urgenta prespitalicesti si transport sanitar</t>
  </si>
  <si>
    <t>6605.05</t>
  </si>
  <si>
    <t>Servicii medicale in unitati sanitare cu paturi</t>
  </si>
  <si>
    <t>6605.06</t>
  </si>
  <si>
    <t>Spitale generale</t>
  </si>
  <si>
    <t>6605.06.01</t>
  </si>
  <si>
    <t>Unitati de recuperare-reabilitare a sanatatii</t>
  </si>
  <si>
    <t>6605.06.04</t>
  </si>
  <si>
    <t>Ingrijiri medicale la domiciliu</t>
  </si>
  <si>
    <t>6605.07</t>
  </si>
  <si>
    <t>Prestatii medicale acordate in baza documentelor internationale</t>
  </si>
  <si>
    <t>6605.11</t>
  </si>
  <si>
    <t>10.01</t>
  </si>
  <si>
    <t>Salarii de baza</t>
  </si>
  <si>
    <t>10.01.01</t>
  </si>
  <si>
    <t>10.01.13</t>
  </si>
  <si>
    <t>20.01</t>
  </si>
  <si>
    <t>Alte bunuri si servicii pentru întretinere si functionare</t>
  </si>
  <si>
    <t>20.01.30</t>
  </si>
  <si>
    <t>20.30</t>
  </si>
  <si>
    <t>Chirii</t>
  </si>
  <si>
    <t>20.30.04</t>
  </si>
  <si>
    <t>CHELTUIELI DE CAPITAL</t>
  </si>
  <si>
    <t>70</t>
  </si>
  <si>
    <t>71</t>
  </si>
  <si>
    <t>71.01</t>
  </si>
  <si>
    <t xml:space="preserve">Maşini, echipamente si mijloace de transport </t>
  </si>
  <si>
    <t>71.01.02</t>
  </si>
  <si>
    <t>Asigurari si asistenta sociala</t>
  </si>
  <si>
    <t>68.05</t>
  </si>
  <si>
    <t>Asistenta sociala in caz de boli si invaliditati</t>
  </si>
  <si>
    <t>68.05.05</t>
  </si>
  <si>
    <t>Asistenta sociala in caz de boli</t>
  </si>
  <si>
    <t>68.05.05.01</t>
  </si>
  <si>
    <t>Asistenta sociala pentru familie si copii</t>
  </si>
  <si>
    <t>68.05.06</t>
  </si>
  <si>
    <t>REZERVE</t>
  </si>
  <si>
    <t>9705</t>
  </si>
  <si>
    <t xml:space="preserve">Fond de rezerva </t>
  </si>
  <si>
    <t>9705.02</t>
  </si>
  <si>
    <t>EXCEDENT</t>
  </si>
  <si>
    <t>98.05</t>
  </si>
  <si>
    <t>DEFICIT</t>
  </si>
  <si>
    <t>99.05</t>
  </si>
  <si>
    <t>Anexa 7</t>
  </si>
  <si>
    <t xml:space="preserve">CONTUL DE EXECUTIE AL INSTITUTIILOR PUBLICE- Cheltuieli </t>
  </si>
  <si>
    <t xml:space="preserve">Cod 21        Capitol 6605      Subcapitol </t>
  </si>
  <si>
    <t>DENUMIREA INDICATORILOR*)</t>
  </si>
  <si>
    <t>Plati efectuate</t>
  </si>
  <si>
    <t>Angajamente legale de platit</t>
  </si>
  <si>
    <t>TOTAL CHELTUIELI (01+70+79+84)</t>
  </si>
  <si>
    <r>
      <rPr>
        <b/>
        <sz val="9"/>
        <rFont val="Arial"/>
        <family val="2"/>
        <charset val="238"/>
      </rPr>
      <t>CHELTUIELI CURENTE (</t>
    </r>
    <r>
      <rPr>
        <b/>
        <sz val="8"/>
        <rFont val="Arial"/>
        <family val="2"/>
        <charset val="238"/>
      </rPr>
      <t>10+20+30+40+50+51+55+56+57+59+65)</t>
    </r>
  </si>
  <si>
    <t>TITLUL I CHELTUIELI DE PERSONAL                                       (cod 10.01+10.02+10.03)</t>
  </si>
  <si>
    <t>Indemnizatii platite unor persoane din afara unitatii</t>
  </si>
  <si>
    <t>10.01.12</t>
  </si>
  <si>
    <t>Indemnizatii de detaşare</t>
  </si>
  <si>
    <t>10.01.14</t>
  </si>
  <si>
    <t>Alte drepturi salariale in bani</t>
  </si>
  <si>
    <t>10.01.30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</si>
  <si>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</si>
  <si>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</si>
  <si>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</si>
  <si>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</si>
  <si>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</si>
  <si>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</si>
  <si>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</si>
  <si>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</si>
  <si>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</si>
  <si>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</si>
  <si>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Contributii pentru concedii si indemnizatii</t>
  </si>
  <si>
    <t>10.03.06</t>
  </si>
  <si>
    <t>TITLUL II  BUNURI SI SERVICII             (cod 20.01 la 20.36)</t>
  </si>
  <si>
    <t>Bunuri si servicii                                   (cod 20.01.01 la 20.01.30)</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</si>
  <si>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</si>
  <si>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</si>
  <si>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</si>
  <si>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</si>
  <si>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</si>
  <si>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</si>
  <si>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</si>
  <si>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</si>
  <si>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</si>
  <si>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</si>
  <si>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</si>
  <si>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</si>
  <si>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 xml:space="preserve">Posta, telecomunicatii, radio, tv, internet </t>
  </si>
  <si>
    <t>20.01.08</t>
  </si>
  <si>
    <t>Materiale si prestari de servicii cu caracter functional</t>
  </si>
  <si>
    <t>20.01.09</t>
  </si>
  <si>
    <t xml:space="preserve">Reparatii curente </t>
  </si>
  <si>
    <t>20.02</t>
  </si>
  <si>
    <t>Bunuri de natura obiectelor de inventar                                                (cod 20.05.01 la 20.05.30)</t>
  </si>
  <si>
    <t>20.05</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</si>
  <si>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</si>
  <si>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</si>
  <si>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</si>
  <si>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</si>
  <si>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</si>
  <si>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</si>
  <si>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</si>
  <si>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</si>
  <si>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</si>
  <si>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</si>
  <si>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</si>
  <si>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</si>
  <si>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</si>
  <si>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</si>
  <si>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</si>
  <si>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</si>
  <si>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Alte cheltuieli                                         (cod 20.30.01 la 20.30.30)</t>
  </si>
  <si>
    <t>Alte cheltuieli cu bunuri si servicii</t>
  </si>
  <si>
    <t>20.30.30</t>
  </si>
  <si>
    <t>TITLUL III DOBANZI                              (cod 30.01+30.02+30.03+30.04)</t>
  </si>
  <si>
    <t>Alte dobanzi (cod 30.03.01la 30.03.05)</t>
  </si>
  <si>
    <t>30.03</t>
  </si>
  <si>
    <t>Dobanda datorata trezoreriei statului</t>
  </si>
  <si>
    <t>30.03.02</t>
  </si>
  <si>
    <t>TITLUL VI TRANSFERURI ÎNTRE UNITĂȚI ALE ADMINISTRAȚIEI PUBLICE</t>
  </si>
  <si>
    <t>6605.51</t>
  </si>
  <si>
    <t>TRANSFERURI CURENTE</t>
  </si>
  <si>
    <t>6605.51.01</t>
  </si>
  <si>
    <t>Transferuri din bugetul fondului național unic de asigurări sociale de sănătate către unitățile sanitare pentru acoperirea creșterilor salariale</t>
  </si>
  <si>
    <t>6605.51.01.66</t>
  </si>
  <si>
    <t xml:space="preserve">TITLU X PROIECTE CU FINANTARE DIN FONDURI EXTERNE NERAMBURSABILE AFERENTE CADRULUI FINANCIAR 2014-2020 </t>
  </si>
  <si>
    <t>6605.58</t>
  </si>
  <si>
    <t>Finantare nationala</t>
  </si>
  <si>
    <t>Finantare externa nerambursabila</t>
  </si>
  <si>
    <t>Alte programe comunitare finantate in perioada 2014-2020</t>
  </si>
  <si>
    <t>6605.58.15</t>
  </si>
  <si>
    <t>6605.58.15.01</t>
  </si>
  <si>
    <t>TITLUL XI ALTE CHELTUIELI</t>
  </si>
  <si>
    <t>6605.59</t>
  </si>
  <si>
    <t>Despăgubiri civile</t>
  </si>
  <si>
    <t>6605.59.17</t>
  </si>
  <si>
    <t>TITLUL IX ASISTENTA SOCIALA          (cod 57.01+57.02)</t>
  </si>
  <si>
    <t>57</t>
  </si>
  <si>
    <t xml:space="preserve"> Ajutoare sociale                                  (cod 57.02.01+57.02.04)</t>
  </si>
  <si>
    <t>57.02</t>
  </si>
  <si>
    <t xml:space="preserve"> Ajutoare sociale in numerar</t>
  </si>
  <si>
    <t>57.02.01</t>
  </si>
  <si>
    <t>CHELTUIELI DE CAPITAL                      (cod 71+72+75)</t>
  </si>
  <si>
    <t>Active fixe (cod 71.01.01 la 71.01.30)</t>
  </si>
  <si>
    <t>Constructii</t>
  </si>
  <si>
    <t>71.01.01</t>
  </si>
  <si>
    <t>Mobilier, aparatura birotica si alte active corporale</t>
  </si>
  <si>
    <t>71.01.03</t>
  </si>
  <si>
    <t xml:space="preserve">Alte active fixe </t>
  </si>
  <si>
    <t>71.01.30</t>
  </si>
  <si>
    <t>Reparatii capitale aferente activelor fixe</t>
  </si>
  <si>
    <t>71.03</t>
  </si>
  <si>
    <t>PLATI EFECTUATE IN ANII PRECEDENTI SI RECUPERATE IN ANUL CURENT (cod 85)</t>
  </si>
  <si>
    <t>84</t>
  </si>
  <si>
    <t>85</t>
  </si>
  <si>
    <t>Plati efectuate in anii precedenti si           recuperate in anul curent</t>
  </si>
  <si>
    <t>85.01</t>
  </si>
  <si>
    <t>85.01.03</t>
  </si>
  <si>
    <t>TITLUL XVIII  REZERVE, EXCEDENT/DEFICIT</t>
  </si>
  <si>
    <t>Rezerve</t>
  </si>
  <si>
    <t>91.01</t>
  </si>
  <si>
    <t>Excedent</t>
  </si>
  <si>
    <t>92.01</t>
  </si>
  <si>
    <t>Deficit</t>
  </si>
  <si>
    <t>93.01</t>
  </si>
  <si>
    <t xml:space="preserve">Cod 21        Capitol 6805      Subcapitol </t>
  </si>
  <si>
    <t>CHELTUIELI CURENTE (10+20+30+40+50+51+55+56+57+59+65)</t>
  </si>
  <si>
    <t>Cheltuieli salariale in bani                           ( cod 10.01.01 la 10.01.30)</t>
  </si>
  <si>
    <t>Titlul VIII PROIECTE CU FINANTARE DIN FONDURI EXTERNE NERAMBURSABILE (FEN)               (cod 56.01 la 56.24)</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</si>
  <si>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</si>
  <si>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</si>
  <si>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</si>
  <si>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</si>
  <si>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</si>
  <si>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</si>
  <si>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</si>
  <si>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</si>
  <si>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</si>
  <si>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</si>
  <si>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</si>
  <si>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</si>
  <si>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</si>
  <si>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</si>
  <si>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lei</t>
  </si>
  <si>
    <t>TITLUL II BUNURI SI SERVICII</t>
  </si>
  <si>
    <t>6605.20</t>
  </si>
  <si>
    <t>Bunuri si servicii</t>
  </si>
  <si>
    <t>6605.20.01</t>
  </si>
  <si>
    <t>6605.20.01.01</t>
  </si>
  <si>
    <t>6605.20.01.02</t>
  </si>
  <si>
    <t>Incalzit, iluminat si forta motrica</t>
  </si>
  <si>
    <t>6605.20.01.03</t>
  </si>
  <si>
    <t>6605.20.01.04</t>
  </si>
  <si>
    <t>6605.20.01.05</t>
  </si>
  <si>
    <t>6605.20.01.06</t>
  </si>
  <si>
    <t>Posta, telecomunicatii, radio, tv, internet</t>
  </si>
  <si>
    <t>6605.20.01.08</t>
  </si>
  <si>
    <t>6605.20.01.09</t>
  </si>
  <si>
    <t>Materiale si prestari de servicii cu caracter medical</t>
  </si>
  <si>
    <t>6605.20.01.09.1</t>
  </si>
  <si>
    <t>Materiale si prestari de servicii cu caracter functional pt ch.proprii</t>
  </si>
  <si>
    <t>6605.20.01.09.2</t>
  </si>
  <si>
    <t>6605.20.01.30</t>
  </si>
  <si>
    <t>Reparatii curente</t>
  </si>
  <si>
    <t>6605.20.02</t>
  </si>
  <si>
    <t>Bunuri de natura obiectelor de inventar</t>
  </si>
  <si>
    <t>6605.20.05</t>
  </si>
  <si>
    <t>6605.20.05.30</t>
  </si>
  <si>
    <t>Deplasari, detasari, transferari</t>
  </si>
  <si>
    <t>6605.20.06</t>
  </si>
  <si>
    <t>Deplasari interne, detasari, transferari</t>
  </si>
  <si>
    <t>6605.20.06.01</t>
  </si>
  <si>
    <t>Deplasari in strainatate</t>
  </si>
  <si>
    <t>6605.20.06.02</t>
  </si>
  <si>
    <t>6605.20.11</t>
  </si>
  <si>
    <t>6605.20.12</t>
  </si>
  <si>
    <t>6605.20.13</t>
  </si>
  <si>
    <t>6605.20.14</t>
  </si>
  <si>
    <t>Alte cheltuieli</t>
  </si>
  <si>
    <t>6605.20.30</t>
  </si>
  <si>
    <t>6605.20.30.04</t>
  </si>
  <si>
    <t>6605.20.30.30</t>
  </si>
  <si>
    <t>6605.70</t>
  </si>
  <si>
    <t>6605.71</t>
  </si>
  <si>
    <t>6605.71.01</t>
  </si>
  <si>
    <t>6605.71.01.01</t>
  </si>
  <si>
    <t>6605.71.01.02</t>
  </si>
  <si>
    <t>6605.71.01.03</t>
  </si>
  <si>
    <t>6605.71.01.30</t>
  </si>
  <si>
    <t>Ec. Elisabeta BIRĂU</t>
  </si>
  <si>
    <t>Anexa nr.34</t>
  </si>
  <si>
    <t>SITUATIA  MODIFICARILOR  IN  STRUCTURA  ACTIVELOR  NETE/CAPITALURILOR PROPRII</t>
  </si>
  <si>
    <t>cod 25</t>
  </si>
  <si>
    <t xml:space="preserve">Denumirea   elementului   de   capital </t>
  </si>
  <si>
    <t xml:space="preserve">Sold la inceputul anului  </t>
  </si>
  <si>
    <t>Cresteri</t>
  </si>
  <si>
    <t>Reduceri</t>
  </si>
  <si>
    <t>Sold la sfirsitul anului</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</si>
  <si>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</si>
  <si>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</si>
  <si>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</si>
  <si>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</si>
  <si>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</si>
  <si>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 1030000)</t>
  </si>
  <si>
    <t>Fondul bunurilor care alcatuiesc domeniul privat al unitatilor administrativ teritoriale (Ct.1040101)</t>
  </si>
  <si>
    <t>Fondul bunurilor care alcătuiesc proprietatea privată a instituţiei publice din publice din administraţia locală ( Ct.1040102)</t>
  </si>
  <si>
    <t>05.1</t>
  </si>
  <si>
    <t xml:space="preserve">Fondul bunurilor care alcătuiesc domeniul privat al unită?ilor administrativ – teritoriale – reprezentând bunuri confiscate sau intrate, potrivit legii, în proprietatea privată a unită?ilor administrativ – teritoriale, altele decât active fixe                                                  Ct. 1040103                                                        </t>
  </si>
  <si>
    <t>05.2</t>
  </si>
  <si>
    <t>Rezerve din reevaluare (Ct. 1050100, 1050200, 1050300, 1050400,1050500)</t>
  </si>
  <si>
    <t>Diferente din reevaluare si diferente de curs  aferente dobinzilor incasate (SAPARD)  (Ct.1060000)</t>
  </si>
  <si>
    <t>Fondul de rezerva al bugetului asigurarilor sociale de stat (Ct.1320000)</t>
  </si>
  <si>
    <t>Fondul de rezerva constituit conform Legii nr. 95/2006 (Ct. 1330000)</t>
  </si>
  <si>
    <t>Fondul de dezvoltare a spitalului (Ct. 1390100)</t>
  </si>
  <si>
    <t>Alte fonduri (Ct.1392+ Ct.1393+Ct.1394+Ct.1396+Ct. 1399)</t>
  </si>
  <si>
    <t>Rezultatul reportat (Ct.1170000 - sold creditor)</t>
  </si>
  <si>
    <t>Rezultatul reportat (Ct.1170000 - sold debitor)</t>
  </si>
  <si>
    <t>Rezultatul patrimonial al exercitiului (Ct. 1210000 - sold creditor)</t>
  </si>
  <si>
    <t>19</t>
  </si>
  <si>
    <t>Rezultatul patrimonial al exercitiului (Ct. 1210000 - sold debitor)</t>
  </si>
  <si>
    <t>Total capitaluri proprii (rd 01 la 17-rd.18+rd.19-rd.20 )</t>
  </si>
  <si>
    <t>x</t>
  </si>
  <si>
    <t xml:space="preserve">             Anexa nr. 35 a</t>
  </si>
  <si>
    <t>SITUATIA  ACTIVELOR FIXE AMORTIZABILE</t>
  </si>
  <si>
    <t>cod 26</t>
  </si>
  <si>
    <t>Denumirea  activelor   fixe</t>
  </si>
  <si>
    <t xml:space="preserve"> Nr rand</t>
  </si>
  <si>
    <t>Sold la începutul anului</t>
  </si>
  <si>
    <t>din care</t>
  </si>
  <si>
    <t>nr</t>
  </si>
  <si>
    <t>mp</t>
  </si>
  <si>
    <t>diferențe din reevaluare)*</t>
  </si>
  <si>
    <t>achiziții</t>
  </si>
  <si>
    <t>transferuri/ primite cu titlu gratuit</t>
  </si>
  <si>
    <t>donații, sponsorizări</t>
  </si>
  <si>
    <t>alte căi</t>
  </si>
  <si>
    <t>4=5+6+7+8+9</t>
  </si>
  <si>
    <t>ACTIVE FIXE NECORPORALE</t>
  </si>
  <si>
    <t>Cheltuieli de dezvoltare (ct. 2030000)</t>
  </si>
  <si>
    <t>Concesiuni, brevete,licente,marci comerciale,drepturi si active similare(ct 2050000.)</t>
  </si>
  <si>
    <t>Alte active fixe necorporale(ct. 2080100, 2080200)</t>
  </si>
  <si>
    <t>TOTAL (rd. 02+03+04)</t>
  </si>
  <si>
    <t>ACTIVE FIXE CORPORALE</t>
  </si>
  <si>
    <t>Amenajari la terenuri (ct. 2110200)</t>
  </si>
  <si>
    <t>Constructii (ct. 212) (rd.08=de la rd 09 la rd 16), din care:</t>
  </si>
  <si>
    <t xml:space="preserve"> - drumuri publice, exclusiv paduri, podeţe, pasarele şi viaducte şi tunele (ct 2120101)</t>
  </si>
  <si>
    <t xml:space="preserve"> -drumuri industriale agricole (ct 2120102)</t>
  </si>
  <si>
    <t xml:space="preserve"> - infrastructură pentru transport feroviar exclusiv poduri, podeţe, pasarele şi viaducte şi tunele (ct 2120201)</t>
  </si>
  <si>
    <t xml:space="preserve"> - poduri, podeţe, pasarele şi viaducte pentru transporturi feroviare şi rutiere; viaducte (ct 2120301)</t>
  </si>
  <si>
    <t xml:space="preserve"> - tunele (ct 2120401)</t>
  </si>
  <si>
    <t xml:space="preserve">  -  piste pentru aeroporturi şi platforme de staţionare pentru avioane şi autovehicule; construcţii aeroportuare (ct 2120501)</t>
  </si>
  <si>
    <t xml:space="preserve">  - canale pentru navigaţie (ct 2120601)</t>
  </si>
  <si>
    <t xml:space="preserve">  - alte active fixe încadrate în grupa construcţii (ct 2120901), din care:</t>
  </si>
  <si>
    <t xml:space="preserve">                              - locuințe ANL</t>
  </si>
  <si>
    <t>16.1</t>
  </si>
  <si>
    <t>Instalatii tehnice, mijloace de transport, animale si plantatii  (ct. 2130100, 2130200, 2130300, 2130400)</t>
  </si>
  <si>
    <t>Mobilier, aparatura birotica, echipamente de protectie a valorilor umane si materiale si alte active fixe corporale    (ct. 2140000)</t>
  </si>
  <si>
    <t>TOTAL    (rd.07+08+17+18)</t>
  </si>
  <si>
    <t>TOTAL ACTIVE FIXE    (rd. 05+19)</t>
  </si>
  <si>
    <t xml:space="preserve">  *) Coloana 5 se completează cu creşterile de valoare din reevaluare evidenţiate în conturile 105 "Rezerve din reevaluare" şi 7813 "Venituri din ajustări privind deprecierea activelor fixe"</t>
  </si>
  <si>
    <t>cod 27</t>
  </si>
  <si>
    <t xml:space="preserve">   - lei-</t>
  </si>
  <si>
    <t xml:space="preserve">                                            Reduceri</t>
  </si>
  <si>
    <t>Sold la sfârșitul anului</t>
  </si>
  <si>
    <t>Ajustări de valoare (amortizări și ajustări pentru depreciere)</t>
  </si>
  <si>
    <t>Valoarea contabila netă, din care:</t>
  </si>
  <si>
    <t xml:space="preserve">Total </t>
  </si>
  <si>
    <t>eliminare amortizare)**</t>
  </si>
  <si>
    <t>dezmembrări și casări</t>
  </si>
  <si>
    <t>transferuri cu titlu gratuit</t>
  </si>
  <si>
    <t>vânzari</t>
  </si>
  <si>
    <t>Creșteri</t>
  </si>
  <si>
    <t>Domeniul privat al statului</t>
  </si>
  <si>
    <t>Domeniul privat al UAT</t>
  </si>
  <si>
    <t>Proprietatea privată a instituţiei publice</t>
  </si>
  <si>
    <t>10=11+12+13+14+15+16</t>
  </si>
  <si>
    <t>17=3+4-10</t>
  </si>
  <si>
    <t>21=18+19-20</t>
  </si>
  <si>
    <t>22=17-21-23-24</t>
  </si>
  <si>
    <t>23=17-21-22-24</t>
  </si>
  <si>
    <t>24=17-21-22-23</t>
  </si>
  <si>
    <t>TOTAL (rd. 02 +03+04)</t>
  </si>
  <si>
    <t>Amenajari la terenuri (ct. 21102002)</t>
  </si>
  <si>
    <t>**)Coloana 11 se completeaza cu reducerile de valoare din reevaluare evidentiate in conturile 105 "Rezerve din reevaluare" si 6813 "Cheltuieli operationale privind ajustarile pentru deprrecierea activelor fixe"</t>
  </si>
  <si>
    <t>***)Coloana 12 se completeaza cu valoarea amortizarii eliminata din valoarea activului fix in situatia in care reevaluarea se efectueaza de catre evaluatori autorizati. Aceeasi valoare se completeaza si pe coloana 20 "Reduceri"</t>
  </si>
  <si>
    <t>Anexa nr. 35 b</t>
  </si>
  <si>
    <t xml:space="preserve"> SITUAȚIA  ACTIVELOR FIXE NEAMORTIZABILE</t>
  </si>
  <si>
    <t>cod 28</t>
  </si>
  <si>
    <t>Denumirea   activelor   fixe</t>
  </si>
  <si>
    <t xml:space="preserve">                                       Cresteri</t>
  </si>
  <si>
    <t>ha</t>
  </si>
  <si>
    <t>diferențe din reevaluare</t>
  </si>
  <si>
    <t>5=6+7+8+9+10</t>
  </si>
  <si>
    <t>Active fixe necorporale in curs de executie(ct. 2330000)</t>
  </si>
  <si>
    <t>TOTAL (rd. 02 + 03)</t>
  </si>
  <si>
    <t>Amenajari la terenuri (ct.2110200)</t>
  </si>
  <si>
    <t>Terenuri (ct. 2110100)</t>
  </si>
  <si>
    <t xml:space="preserve">  - alte active fixe încadrate în grupa construcţii (ct 2120901)</t>
  </si>
  <si>
    <t>Mobilier, aparatura birotica, echipamente de protectie a valorilor umane si materiale si alte active fixe corporale (ct.2140000)</t>
  </si>
  <si>
    <t>Active fixe corporale in curs de executie (ct. 2310000)</t>
  </si>
  <si>
    <t>Alte active ale statului(ct.2150000 )</t>
  </si>
  <si>
    <t>TOTAL (rd.06+ 07 + 08+ 17 + 18+19+20)</t>
  </si>
  <si>
    <t>TOTAL ACTIVE FIXE (rd. 04+21)</t>
  </si>
  <si>
    <t>22</t>
  </si>
  <si>
    <t>SITUAȚIA  ACTIVELOR FIXE NEAMORTIZABILE</t>
  </si>
  <si>
    <t>cod 29</t>
  </si>
  <si>
    <t>Denumirea activelor fixe</t>
  </si>
  <si>
    <t>Sold la sfarsitul anului</t>
  </si>
  <si>
    <t>Valoarea  activelor fixe neamortizabile</t>
  </si>
  <si>
    <t>reevaluare</t>
  </si>
  <si>
    <t>transferuri/ cu titlu gratuit</t>
  </si>
  <si>
    <t>vânzări</t>
  </si>
  <si>
    <t>alte cai</t>
  </si>
  <si>
    <t>Domeniul public al statului cont 1010000</t>
  </si>
  <si>
    <t>Domeniul privat al statului cont 1020101</t>
  </si>
  <si>
    <t>Proprietatea privată a instituţiei publice cont 1020102</t>
  </si>
  <si>
    <t>Domeniul public al UAT cont 1030000</t>
  </si>
  <si>
    <t>Domeniul privat al UAT cont 1040101</t>
  </si>
  <si>
    <t>Proprietatea privată a instituţiei publice din administraţia locală cont 1040102</t>
  </si>
  <si>
    <t>11=12+13+14+15+16</t>
  </si>
  <si>
    <t>17=4+5-11</t>
  </si>
  <si>
    <t>17=18+19+20+21+22</t>
  </si>
  <si>
    <t xml:space="preserve">  Anexa nr. 25</t>
  </si>
  <si>
    <t xml:space="preserve">                                                                                                            SINTEZA FINANTARII PROGRAMELOR</t>
  </si>
  <si>
    <t>Cod ordonator:</t>
  </si>
  <si>
    <t>Casa Naţională de Asigurări de Sănătate</t>
  </si>
  <si>
    <t>Total Cheltuieli</t>
  </si>
  <si>
    <t xml:space="preserve"> -  lei -</t>
  </si>
  <si>
    <t>Cod sursa</t>
  </si>
  <si>
    <t>Denumire sursa</t>
  </si>
  <si>
    <t>Credite bugetare initiale</t>
  </si>
  <si>
    <t>Credite bugetare definitive</t>
  </si>
  <si>
    <t>TOTAL SURSE</t>
  </si>
  <si>
    <t>Bugetul Fondului national unic de asigurari sociale de sanatate</t>
  </si>
  <si>
    <t>Cod program:</t>
  </si>
  <si>
    <t xml:space="preserve">A MEDICAMENTELOR ŞI A DISPOZITIVELOR MEDICALE ÎN CADRUL SISTEMULUI </t>
  </si>
  <si>
    <t>DE SĂNĂTATE</t>
  </si>
  <si>
    <t>anexa 26</t>
  </si>
  <si>
    <t>FISA  PROGRAMULUI</t>
  </si>
  <si>
    <t>COD PROGRAM:  530</t>
  </si>
  <si>
    <t>INDICATORI</t>
  </si>
  <si>
    <t>DE EFICIENTA</t>
  </si>
  <si>
    <t>DE REZULTAT</t>
  </si>
  <si>
    <t>SURSA DE FINANTARE: BUGETUL DE STAT</t>
  </si>
  <si>
    <t>TIP</t>
  </si>
  <si>
    <t>Denumire</t>
  </si>
  <si>
    <t>Credite</t>
  </si>
  <si>
    <t>REALIZARI</t>
  </si>
  <si>
    <t>bugetare</t>
  </si>
  <si>
    <t>initiale</t>
  </si>
  <si>
    <t>definitive</t>
  </si>
  <si>
    <t>CHELTUIELI TOTALE</t>
  </si>
  <si>
    <t>BUNURI SI SERVICII</t>
  </si>
  <si>
    <t>SURSA DE FINANTARE: VENITURI PROPRII ALE MINISTERULUI SANATATII PUBLICE</t>
  </si>
  <si>
    <t>cod 10</t>
  </si>
  <si>
    <t>SURSA DE FINANTARE: Bugetul Fondului national unic de asigurari sociale de sanatate</t>
  </si>
  <si>
    <t>REALIZAREA INDICATORILOR PE SUBPROGAME DE SANATATE</t>
  </si>
  <si>
    <t>Denumirea programului/subprogramului de sănătate cu scop curativ</t>
  </si>
  <si>
    <t xml:space="preserve">Număr  bolnavi </t>
  </si>
  <si>
    <t>Cost mediu (lei)</t>
  </si>
  <si>
    <t>C0</t>
  </si>
  <si>
    <t>Programul national de oncologie, din care:</t>
  </si>
  <si>
    <t xml:space="preserve">  -Subprogramul de tratament medicamentos al bolnavilor cu afecţiuni oncologice</t>
  </si>
  <si>
    <t xml:space="preserve">  -Subprogramul de monitorizare a evolutiei bolii la pacientii cu afectiuni oncologice prin PET-CT</t>
  </si>
  <si>
    <t xml:space="preserve">  -Subprogramul de recontructie mamara dupa afectiuni oncologice prin endoprotezare</t>
  </si>
  <si>
    <t xml:space="preserve">   - Subprogramul de diagnostic şi de monitorizare a bolii minime reziduale a bolnavilor cu leucemii acute prin imunofenotipare, examen citogenetic şi/sau FISH şi examen de biologie moleculară la copii şi adulţi</t>
  </si>
  <si>
    <t xml:space="preserve">   - Subprogramul de radioterapie a bolnavilor cu afecţiuni oncologice realizate în regim de spitalizare de zi</t>
  </si>
  <si>
    <t>Programul national de transplant de organe, tesuturi si celule de origine umana</t>
  </si>
  <si>
    <t>Programul national de tratament al bolilor neurologice</t>
  </si>
  <si>
    <t xml:space="preserve"> Programul national de tratament al hemofiliei si talasemiei</t>
  </si>
  <si>
    <t>Programul national de tratament al surditatii prin proteze auditive implantabile (implant cohlear si proteze auditive)</t>
  </si>
  <si>
    <t>Programul national de boli endocrine</t>
  </si>
  <si>
    <t>Programul national de ortopedie</t>
  </si>
  <si>
    <t>Programul national de terapie intensiva a insuficientei hepatice - materiale sanitare</t>
  </si>
  <si>
    <t>Programul national de boli cardiovasculare</t>
  </si>
  <si>
    <t>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</si>
  <si>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</si>
  <si>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</si>
  <si>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</si>
  <si>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</si>
  <si>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Programul national de supleere a functiei renale la bolnavii cu insuficienta renala cronica</t>
  </si>
  <si>
    <t>Programul national de sanatate cu scop curativ, din care:</t>
  </si>
  <si>
    <t xml:space="preserve">   -medicamente pentru boli cronice cu risc crescut utilizate in programele nationale cu scop curativ</t>
  </si>
  <si>
    <t xml:space="preserve">   -materiale sanitare specifice utilizate in programele nationale cu scop curativ</t>
  </si>
  <si>
    <t xml:space="preserve">   -servicii</t>
  </si>
  <si>
    <t xml:space="preserve">PROGRAM NAŢIONAL PRIVIND ASIGURAREA SERVICIILOR MEDICALE, </t>
  </si>
  <si>
    <t>COD PROGRAM:  659</t>
  </si>
  <si>
    <t>ASISTENŢA MEDICALĂ PRIMARĂ</t>
  </si>
  <si>
    <t>Cost pe asigurat inscris pe lista medic de familie (lei)</t>
  </si>
  <si>
    <t>ASISTENTA MEDICALA PENTRU SPECIALITĂŢI CLINICE</t>
  </si>
  <si>
    <t>Număr servicii medicale</t>
  </si>
  <si>
    <t>ASISTENŢA MEDICALĂ PENTRU SPECIALITĂŢI PARACLINICE</t>
  </si>
  <si>
    <t>ASISTENŢA MEDICALĂ STOMATOLOGICĂ</t>
  </si>
  <si>
    <t>Cost mediu/serviciu (lei)</t>
  </si>
  <si>
    <t xml:space="preserve">Număr servicii </t>
  </si>
  <si>
    <t>SERVICII DE URGENŢĂ PRESPITALICEŞTI ŞI TRANSPORT SANITAR</t>
  </si>
  <si>
    <t xml:space="preserve">Cost mediu pe locuitor (lei) </t>
  </si>
  <si>
    <t>Cost mediu/solicitare (lei)</t>
  </si>
  <si>
    <t>Număr solicitări</t>
  </si>
  <si>
    <t>Cost mediu/ caz rezolvat (lei)</t>
  </si>
  <si>
    <t>Număr unităţi sanitare</t>
  </si>
  <si>
    <t xml:space="preserve">Număr cazuri externate </t>
  </si>
  <si>
    <t>MEDICAMENTE CU SI FARA CONTRIBUTIRE PERSONALĂ</t>
  </si>
  <si>
    <t>Număr de persoane beneficiare</t>
  </si>
  <si>
    <t>DISPOZITIVE ŞI ECHIPAMENTE MEDICALE</t>
  </si>
  <si>
    <t>Cost mediu/ pe persoana beneficiara (lei)</t>
  </si>
  <si>
    <t>Numar de beneficiari</t>
  </si>
  <si>
    <t>INGRIJIRI MEDICALE LA DOMICILIU</t>
  </si>
  <si>
    <t xml:space="preserve">Număr cazuri </t>
  </si>
  <si>
    <t xml:space="preserve">  Anexa 27 </t>
  </si>
  <si>
    <t xml:space="preserve">cod 56 </t>
  </si>
  <si>
    <t xml:space="preserve">Buget de stat
( s01-stat)
</t>
  </si>
  <si>
    <t xml:space="preserve">Buget local 
(s02-local) 
</t>
  </si>
  <si>
    <t>Bugetul Fondului naţional unic de asigurări sociale de sănătate (s05-sănătate)</t>
  </si>
  <si>
    <t>Bugetul   fondurilor   externe nerambursabile  (s08-stat+asigurări+ local)</t>
  </si>
  <si>
    <t>Anexa 30</t>
  </si>
  <si>
    <t>PLATI   RESTANTE</t>
  </si>
  <si>
    <t>cod 40</t>
  </si>
  <si>
    <t>Sold la finele perioadei</t>
  </si>
  <si>
    <t>Din care aferent sumelor angajate cu prevederi bugetare</t>
  </si>
  <si>
    <t>0 1</t>
  </si>
  <si>
    <t>PLĂŢI RESTANTE-TOTAL (rd.07+12+27+32+37+42+47) din care:</t>
  </si>
  <si>
    <r>
      <rPr>
        <b/>
        <sz val="11"/>
        <rFont val="Arial"/>
        <family val="2"/>
      </rPr>
      <t xml:space="preserve">    -</t>
    </r>
    <r>
      <rPr>
        <sz val="11"/>
        <rFont val="Arial"/>
        <family val="2"/>
      </rPr>
      <t>sub 30 de zile  (rd.7.1+12.1+27.1+32.1+37.1+42.1+47.1)</t>
    </r>
  </si>
  <si>
    <t xml:space="preserve">   -peste 30 de zile (rd.8+13+28+33+38+43+47.2) </t>
  </si>
  <si>
    <t xml:space="preserve">   -peste 90 de zile (rd.9+14+29+34+39+44+47.3) </t>
  </si>
  <si>
    <t xml:space="preserve">   -peste 120 zile (rd. 10+15+30+35+40+45+47.4)  </t>
  </si>
  <si>
    <t xml:space="preserve">   -peste 1 an ( rd. 11+16+31+36+41+46+47.5)    </t>
  </si>
  <si>
    <r>
      <rPr>
        <b/>
        <sz val="11"/>
        <rFont val="Arial"/>
        <family val="2"/>
      </rPr>
      <t xml:space="preserve">Plăţi restante către furnizori, creditorii din  operaţii  comerciale </t>
    </r>
    <r>
      <rPr>
        <sz val="11"/>
        <rFont val="Arial"/>
        <family val="2"/>
        <charset val="238"/>
      </rPr>
      <t xml:space="preserve"> (ct.4010100, ct. 4030100, ct. 4040100, ct. 4050100, ct. 4620101, ct. 4620103, ct. 4620109),                                                         din care: (rd.07.1+ 08+09+10+11)</t>
    </r>
  </si>
  <si>
    <r>
      <rPr>
        <b/>
        <sz val="11"/>
        <rFont val="Arial"/>
        <family val="2"/>
      </rPr>
      <t xml:space="preserve">   -</t>
    </r>
    <r>
      <rPr>
        <sz val="11"/>
        <rFont val="Arial"/>
        <family val="2"/>
      </rPr>
      <t>sub 30 de zile</t>
    </r>
    <r>
      <rPr>
        <b/>
        <sz val="11"/>
        <rFont val="Arial"/>
        <family val="2"/>
      </rPr>
      <t xml:space="preserve"> </t>
    </r>
  </si>
  <si>
    <t>7.1</t>
  </si>
  <si>
    <t xml:space="preserve">   -peste 30 de zile</t>
  </si>
  <si>
    <t xml:space="preserve">   -peste 90 de zile din care:</t>
  </si>
  <si>
    <t xml:space="preserve">   -(ct.4620101, ct. 4620103, ct. 4620109)</t>
  </si>
  <si>
    <t>9.1</t>
  </si>
  <si>
    <t xml:space="preserve">   -peste 120 zile</t>
  </si>
  <si>
    <t xml:space="preserve">   -peste 1 an</t>
  </si>
  <si>
    <r>
      <rPr>
        <b/>
        <sz val="11"/>
        <rFont val="Arial"/>
        <family val="2"/>
      </rPr>
      <t xml:space="preserve">Plăţi restante faţă de bugetul general consolidat  </t>
    </r>
    <r>
      <rPr>
        <sz val="11"/>
        <rFont val="Arial"/>
        <family val="2"/>
      </rPr>
      <t xml:space="preserve">(rd.17+rd.18+rd.19+22) </t>
    </r>
    <r>
      <rPr>
        <b/>
        <sz val="11"/>
        <rFont val="Arial"/>
        <family val="2"/>
      </rPr>
      <t>din care:</t>
    </r>
  </si>
  <si>
    <r>
      <rPr>
        <b/>
        <sz val="11"/>
        <rFont val="Arial"/>
        <family val="2"/>
      </rPr>
      <t xml:space="preserve">    -</t>
    </r>
    <r>
      <rPr>
        <sz val="11"/>
        <rFont val="Arial"/>
        <family val="2"/>
      </rPr>
      <t>sub 30 de zile ( rd.17.1+18.1+19.1+22.1)</t>
    </r>
  </si>
  <si>
    <t>12.1</t>
  </si>
  <si>
    <t xml:space="preserve">   -peste 30 de zile ( rd.17.2+18.2+19.2+23) </t>
  </si>
  <si>
    <t xml:space="preserve">   -peste 90 de zile ( rd.17.3+18.3+19.3+24)</t>
  </si>
  <si>
    <t xml:space="preserve">   -peste 120 zile  (rd.17.4+18.4+19.4+25)</t>
  </si>
  <si>
    <t xml:space="preserve">   -peste 1 an   (rd.17.5+18.5+19.5+26)</t>
  </si>
  <si>
    <r>
      <rPr>
        <b/>
        <sz val="11"/>
        <rFont val="Arial"/>
        <family val="2"/>
      </rPr>
      <t xml:space="preserve">Plăţi restante faţă  de bugetul de stat                                </t>
    </r>
    <r>
      <rPr>
        <sz val="11"/>
        <rFont val="Arial"/>
        <family val="2"/>
        <charset val="238"/>
      </rPr>
      <t xml:space="preserve">   (ct.4420300, ct 4440000, ct.4460000, ct 4460100, ct 4460200 ct.4480100)                                                                  ( rd.17.1+17.2+17.3+17.4+17.5)</t>
    </r>
  </si>
  <si>
    <r>
      <rPr>
        <b/>
        <sz val="11"/>
        <rFont val="Arial"/>
        <family val="2"/>
      </rPr>
      <t xml:space="preserve">   </t>
    </r>
    <r>
      <rPr>
        <sz val="11"/>
        <rFont val="Arial"/>
        <family val="2"/>
      </rPr>
      <t>-sub 30 de zile</t>
    </r>
    <r>
      <rPr>
        <b/>
        <sz val="11"/>
        <rFont val="Arial"/>
        <family val="2"/>
      </rPr>
      <t xml:space="preserve"> </t>
    </r>
  </si>
  <si>
    <t>17.1</t>
  </si>
  <si>
    <t xml:space="preserve">   -peste 30 de zile  </t>
  </si>
  <si>
    <t>17.2</t>
  </si>
  <si>
    <t xml:space="preserve">   -peste 90 de zile </t>
  </si>
  <si>
    <t>17.3</t>
  </si>
  <si>
    <t>17.4</t>
  </si>
  <si>
    <t>17.5</t>
  </si>
  <si>
    <r>
      <rPr>
        <b/>
        <sz val="11"/>
        <rFont val="Arial"/>
        <family val="2"/>
      </rPr>
      <t xml:space="preserve">Plăţi restante faţă  de bugetul asigurarilor sociale de sănătate                                                                                                               </t>
    </r>
    <r>
      <rPr>
        <sz val="11"/>
        <rFont val="Arial"/>
        <family val="2"/>
        <charset val="238"/>
      </rPr>
      <t xml:space="preserve">    (ct.4310300, ct.4310400, ct.4310500, ct.4310700)                                           ( rd.18.1+18.2+18.3+18.4+18.5)</t>
    </r>
  </si>
  <si>
    <r>
      <rPr>
        <b/>
        <sz val="11"/>
        <rFont val="Arial"/>
        <family val="2"/>
      </rPr>
      <t xml:space="preserve">  </t>
    </r>
    <r>
      <rPr>
        <sz val="11"/>
        <rFont val="Arial"/>
        <family val="2"/>
      </rPr>
      <t>-sub 30 de zile</t>
    </r>
  </si>
  <si>
    <t>18.1</t>
  </si>
  <si>
    <t xml:space="preserve">  -peste 30 de zile</t>
  </si>
  <si>
    <t>18.2</t>
  </si>
  <si>
    <t xml:space="preserve">  -peste 90 de zile</t>
  </si>
  <si>
    <t>18.3</t>
  </si>
  <si>
    <t xml:space="preserve">  -peste 120 de zile</t>
  </si>
  <si>
    <t>18.4</t>
  </si>
  <si>
    <t xml:space="preserve">  -peste 1 an </t>
  </si>
  <si>
    <t>18.5</t>
  </si>
  <si>
    <t>Plăţi restante faţă  de bugetul asigurarilor  sociale-  Total (rd. 20+21),din care:</t>
  </si>
  <si>
    <r>
      <rPr>
        <b/>
        <sz val="11"/>
        <rFont val="Arial"/>
        <family val="2"/>
      </rPr>
      <t xml:space="preserve">  -</t>
    </r>
    <r>
      <rPr>
        <sz val="11"/>
        <rFont val="Arial"/>
        <family val="2"/>
      </rPr>
      <t>sub 30 de zile  (rd20.1+21.1)</t>
    </r>
  </si>
  <si>
    <t>19.1</t>
  </si>
  <si>
    <t xml:space="preserve">  -peste 30 de zile (rd20.2+21.2)</t>
  </si>
  <si>
    <t>19.2</t>
  </si>
  <si>
    <t xml:space="preserve">  -peste 90 de zile (rd.20.3+21.3</t>
  </si>
  <si>
    <t>19.3</t>
  </si>
  <si>
    <t xml:space="preserve">  -peste 120 de zile (rd.20.4+21.4)</t>
  </si>
  <si>
    <t>19.4</t>
  </si>
  <si>
    <t xml:space="preserve">  -peste 1 an (20.5+21.5)</t>
  </si>
  <si>
    <t>19.5</t>
  </si>
  <si>
    <t>FISA PROGRAMELOR NATIONALE DE SANATATE CURATIVE CURATIVE</t>
  </si>
  <si>
    <t>Denumirea programului:   PROGRAME NATIONALE DE SANATATE CURATIVE</t>
  </si>
  <si>
    <t>FINANTARE:</t>
  </si>
  <si>
    <t>Total - eligibil:</t>
  </si>
  <si>
    <t>CHELTUIELI - TOTAL</t>
  </si>
  <si>
    <t xml:space="preserve">SANATATE  </t>
  </si>
  <si>
    <t>TITLUL II - BUNURI SI SERVICII</t>
  </si>
  <si>
    <t xml:space="preserve">FISA PROGRAMULUI NATIONAL PRIVIND ASIGURAREA SERVICIILOR MEDICALE, A MEDICAMENTELOR SI DISPOZITIVELOR MEDICALE IN CADRUL SISTEMULUI DE ASIGURARI SOCIALE DE SANATATE </t>
  </si>
  <si>
    <t>Indicatori de finantare</t>
  </si>
  <si>
    <t>FISA PROGRAMULUI PRIVIND MEDICAMENTELE CARE FAC OBIECTUL CONTRACTELOR COST VOLUM /COST VOLUM REZULTAT</t>
  </si>
  <si>
    <r>
      <rPr>
        <b/>
        <sz val="9"/>
        <rFont val="Arial"/>
        <family val="2"/>
        <charset val="238"/>
      </rPr>
      <t>*)</t>
    </r>
    <r>
      <rPr>
        <sz val="9"/>
        <rFont val="Arial"/>
        <family val="2"/>
        <charset val="238"/>
      </rPr>
      <t xml:space="preserve"> Conform art.8, alin.(3) din Legea nr.6/2017 "Se autorizează Casa Naţională de Asigurări de Sănătate să încheie contracte în limita creditelor de angajament în sumă de 3.091.222 mii lei pentru medicamentele care fac obiectul contractelor cost volum/cost volum rezultat."</t>
    </r>
  </si>
  <si>
    <t>Anexa 1</t>
  </si>
  <si>
    <t>Nr.crt.</t>
  </si>
  <si>
    <t>Domeniu de asistenta medicala</t>
  </si>
  <si>
    <t>Nr. cazuri</t>
  </si>
  <si>
    <t>Valoarea serviciilor medicale confirmate</t>
  </si>
  <si>
    <t>Suma primita de la CNPP, din care:</t>
  </si>
  <si>
    <t>Suma primita pentru anul curent</t>
  </si>
  <si>
    <t>Suma primita pentru anii precedenti</t>
  </si>
  <si>
    <t>Asistenta medicala ambulatorie (de specialitate) pentru specialitati clinice</t>
  </si>
  <si>
    <t>Asistenta medicala ambulatorie stomatologica</t>
  </si>
  <si>
    <t>Asistenta medicala ambulatorie pentru specialitati paraclinice</t>
  </si>
  <si>
    <t>Medicamente si materiale specifice utilizate in spital si ambulatoriu pentru unele boli cronice si specialitati clinice pe baza de programe</t>
  </si>
  <si>
    <t>Dispozitive medicale destinate corectarii si recuperarii deficientelor organice sau functionale ori corectarii unor deficiente fizice</t>
  </si>
  <si>
    <t>Medicamente cu si fara contributie personala in tratamentul ambulatoriu</t>
  </si>
  <si>
    <t>Asistenta medicala spitaliceasca</t>
  </si>
  <si>
    <t>Servicii de urgenta prespitalicesti si alte tipuri de transport medical</t>
  </si>
  <si>
    <t>Servicii de recuperare-reabilitare a sanatatii</t>
  </si>
  <si>
    <t>Medicamente utilizate in spital</t>
  </si>
  <si>
    <t>Servicii si ingrijiri medicale la domiciliu</t>
  </si>
  <si>
    <t>Anexa 2</t>
  </si>
  <si>
    <t>Nr. crt.</t>
  </si>
  <si>
    <r>
      <rPr>
        <b/>
        <sz val="10"/>
        <rFont val="Arial"/>
        <family val="2"/>
      </rPr>
      <t>Valoarea serviciilor medicale</t>
    </r>
    <r>
      <rPr>
        <b/>
        <sz val="10"/>
        <color indexed="10"/>
        <rFont val="Arial"/>
        <family val="2"/>
      </rPr>
      <t xml:space="preserve"> </t>
    </r>
    <r>
      <rPr>
        <b/>
        <sz val="10"/>
        <rFont val="Arial"/>
        <family val="2"/>
      </rPr>
      <t>solicitate de CNPP</t>
    </r>
  </si>
  <si>
    <t>Suma decontata de CAS</t>
  </si>
  <si>
    <t>Anexa 3</t>
  </si>
  <si>
    <t>Valoarea serviciilor medicale reprezentand prejudicii</t>
  </si>
  <si>
    <t>Suma virata de furnizorul de servicii medicale  catre CAS  (sume recuperate de la debitori)</t>
  </si>
  <si>
    <t xml:space="preserve"> din care:</t>
  </si>
  <si>
    <t>Suma recuperate pentru anul curent</t>
  </si>
  <si>
    <t>Suma recuperate pentru anii precedenti</t>
  </si>
  <si>
    <t>4=5+6</t>
  </si>
  <si>
    <t>ELEMENTE DE ACTIV</t>
  </si>
  <si>
    <t>VALOAREA BRUTĂ</t>
  </si>
  <si>
    <t>AMORTIZARE ŞI PROVIZIOANE</t>
  </si>
  <si>
    <t>SOLD INITIAL</t>
  </si>
  <si>
    <t>CREŞTERI</t>
  </si>
  <si>
    <t>REDUCERI</t>
  </si>
  <si>
    <t>SOLD FINAL</t>
  </si>
  <si>
    <t>AMORTIZARE</t>
  </si>
  <si>
    <t>CRESTERI</t>
  </si>
  <si>
    <t>Active fixe necorporale</t>
  </si>
  <si>
    <t>Instalatii tehnice, mijloace de transport, animale si plantatii  (ct.213)</t>
  </si>
  <si>
    <t>Mobilier, aparatura birotica, echipamente de protectie a valorilor umane si materiale si alte active fixe corporale (ct.214)</t>
  </si>
  <si>
    <t>Terenuri şi clădiri</t>
  </si>
  <si>
    <t xml:space="preserve">               Informaţii privind soldurile conturilor de venituri şi finanţări precum şi </t>
  </si>
  <si>
    <t xml:space="preserve">               soldurile conturilor de cheltuieli din Contul de rezultat patrimonial</t>
  </si>
  <si>
    <t>ct 7350300 Alte impozite şi taxe generale pe bunuri şi servicii</t>
  </si>
  <si>
    <t>ct 7450300 Contribuţiile angajatorilor pentru asigurări sociale de sănătate</t>
  </si>
  <si>
    <t>ct 7460300 Contribuţiile asiguraţilor pentru asigurări sociale de sănătate</t>
  </si>
  <si>
    <t>ct 7460900 Alte contribuţii ale altor persoane pentru asigurări sociale</t>
  </si>
  <si>
    <t>ct 7510500 Transferuri voluntare, altele decât subvenţiile (donaţii, sponsorizări)</t>
  </si>
  <si>
    <t>ct 7720100 Subvenţii de la bugetul de stat</t>
  </si>
  <si>
    <t>ct 7720200 Subvenţii de la alte bugete</t>
  </si>
  <si>
    <t xml:space="preserve">ct.7760000 Fonduri cu destinaţie specială </t>
  </si>
  <si>
    <t>ct 7510400 Diverse venituri</t>
  </si>
  <si>
    <t>ct 7810200 Venituri din provizioane</t>
  </si>
  <si>
    <t>ct 7810300 Venituri din ajustări privind deprecierea activelor fixe</t>
  </si>
  <si>
    <t>ct 7810401 Venituri din ajustări pentru deprecierea activelor circulante - stocuri</t>
  </si>
  <si>
    <t>ct 7810402 Venituri din ajustări pentru deprecierea activelor circulante - creanţe</t>
  </si>
  <si>
    <t>ct.7650100 Venituri din diferenţe de curs valutar-diferenţe de curs din reevaluarea creanţelor şi datoriilor</t>
  </si>
  <si>
    <t>ct.7650200 Venituri din diferenţe de curs valutar – diferenţe de curs din reevaluarea disponibilităţilor</t>
  </si>
  <si>
    <t>ct. 7660000 Venituri din dobânzi</t>
  </si>
  <si>
    <t>ct. 7910000 Venituri din valorificarea unor bunuri ale statului</t>
  </si>
  <si>
    <t>ct.6410000 Cheltuieli cu salariile personalului</t>
  </si>
  <si>
    <t>ct 6420000 Cheltuieli salariale în natură</t>
  </si>
  <si>
    <t>ct 6450100 Contribuţiile angajatorilor pentru asigurări sociale</t>
  </si>
  <si>
    <t>ct 6450200 Contribuţiile angajatorilor pentru asigurări de şomaj</t>
  </si>
  <si>
    <t>ct 6450300 Contribuţiile angajatorilor pentru asigurări sociale de sănătate</t>
  </si>
  <si>
    <t>ct 6450400 Contribuţiile angajatorilor pentru accidente de muncă şi boli profesionale</t>
  </si>
  <si>
    <t>ct 6450500 Contribuţiile angajatorilor pentru concedii şi indemnizaţii</t>
  </si>
  <si>
    <t>ct 6450800 Alte cheltuieli privind asigurările şi protecţia socială</t>
  </si>
  <si>
    <t>ct.6460000  Cheltuieli cu indemnizaţiile de delegare, detaşare şi alte drepturi salariale</t>
  </si>
  <si>
    <t>ct 6710000  Transferuri curente între unităţi ale administraţiei publice</t>
  </si>
  <si>
    <t>ct 6770000 Ajutoare sociale</t>
  </si>
  <si>
    <t>ct 6790000 Alte cheltuieli</t>
  </si>
  <si>
    <t>ct 6020200 Cheltuieli privind combustibilul</t>
  </si>
  <si>
    <t>ct 6020400 Cheltuieli privind piesele de schimb</t>
  </si>
  <si>
    <t>ct 6020800 Cheltuieli privind alte materiale consumabile</t>
  </si>
  <si>
    <t>ct 6030000  Cheltuieli privind materialele de natura obiectelor de inventar</t>
  </si>
  <si>
    <t>ct 6100000 Cheltuieli privind energia şi apa</t>
  </si>
  <si>
    <t>ct 6110000 Cheltuieli cu întreţinerea şi reparaţiile</t>
  </si>
  <si>
    <t>ct 6120000 Cheltuieli cu chiriile</t>
  </si>
  <si>
    <t>ct 6130000 Cheltuieli cu primele de asigurare</t>
  </si>
  <si>
    <t>ct 6140000 Cheltuieli cu deplasări, detaşări, transferări</t>
  </si>
  <si>
    <t>ct 6220000 Cheltuieli privind comisioanele şi onorariile</t>
  </si>
  <si>
    <t>ct 6230000 Cheltuieli de protocol, reclamă şi publicitate</t>
  </si>
  <si>
    <t>ct 6260000 Cheltuieli poştale şi taxe de telecomunicaţii</t>
  </si>
  <si>
    <t>ct 6270000 Cheltuieli cu serviciile bancare şi asimilate</t>
  </si>
  <si>
    <t>ct 6280000 Alte cheltuieli cu serviciile executate de terţi</t>
  </si>
  <si>
    <t>ct 6290100 Alte cheltuieli autorizate prin dispoziţii legale – cheltuieli curente</t>
  </si>
  <si>
    <t>ct.6810100 Cheltuieli operaţionale privind amortizarea activelor fixe</t>
  </si>
  <si>
    <t>ct 6810200 Cheltuieli operaţionale privind provizioanele</t>
  </si>
  <si>
    <t>ct 6810300 Cheltuieli operaţionale privind ajustările pentru deprecierea activelor fixe</t>
  </si>
  <si>
    <t>ct 6810402 Cheltuieli operaţionale privind ajustările pentru deprecierea activelor circulante- creanţe</t>
  </si>
  <si>
    <t>ct 6820109 Cheltuieli cu activele fixe corporale neamortizabile -altele</t>
  </si>
  <si>
    <t>ct 6350100 Cheltuieli cu alte impozite, taxe şi vărsăminte asimilate</t>
  </si>
  <si>
    <t>ct 6540000 Pierderi din creanţe şi debitori diverşi</t>
  </si>
  <si>
    <t>ct 6580101  Alte cheltuieli operaţionale – transfer active fixe şi stocuri între instituţii publice</t>
  </si>
  <si>
    <t>ct 6580109 Alte cheltuieli operaţionale – alte operaţiuni</t>
  </si>
  <si>
    <t>ct.6650100 Cheltuieli din diferenţe de curs valutar–diferenţe de curs din reevaluarea creanţelor şi datoriilor</t>
  </si>
  <si>
    <t>ct.6650200 Cheltuieli din diferenţe de curs valutar – diferenţe de curs din reevaluarea disponibilităţilor</t>
  </si>
  <si>
    <t>ct 6660000 Cheltuieli privind dobânzile</t>
  </si>
  <si>
    <t>ct 6910000 Cheltuieli extraordinare din operaţiuni cu active fixe</t>
  </si>
  <si>
    <t>CM platite direct de angajatori</t>
  </si>
  <si>
    <t>3=1+2</t>
  </si>
  <si>
    <t>Contributia suportata de angajator pentru concedii si indemnizatii datorata de persoanele aflate in incapacitate temporara de munca din cauza de accident de munca sau boala profesionala</t>
  </si>
  <si>
    <t>3000</t>
  </si>
  <si>
    <t>Contributii din bugetul asigurărilor sociale de stat, din sumele alocate sistemului de asigurări pentru accidente de muncă şi boli profesionale, pentru concedii şi indemnizaţii datorate pers. aflate în incapac.temp de m-că din cauza bolilor profesionale</t>
  </si>
  <si>
    <t>SOLD la începutul anului ( cont 1511 - Provizioane pentru litigii)</t>
  </si>
  <si>
    <t>Creşterea provizioanelor în perioada de raportare prin:</t>
  </si>
  <si>
    <t>înregistrarea ajustărilor de valoare</t>
  </si>
  <si>
    <t xml:space="preserve">înregistrarea de noi provizioane </t>
  </si>
  <si>
    <t>Scăderea provizioanelor în perioada de raportare ca urmare a:</t>
  </si>
  <si>
    <t>plăţilor efectuate în perioada de raportare</t>
  </si>
  <si>
    <t>anulări de provizioane ( datorită înregistrărilor greşite)</t>
  </si>
  <si>
    <t>SOLD la sfârşitul perioadei de raportare (cea mai bună estimare la data bilanţului a costurilor necesare stingerii obligaţiei ) din care:</t>
  </si>
  <si>
    <t xml:space="preserve"> provizioane aferente drepturilor salariale ce urmează a fi plătite în exerciţiul curent</t>
  </si>
  <si>
    <t xml:space="preserve"> provizioane aferente drepturilor salariale ce urmează a fi plătite în exerciţiile viitoare</t>
  </si>
  <si>
    <t>Numerar în casieria instituţiei cont 5311</t>
  </si>
  <si>
    <t>Disponibil din fondul de rezervă constituit  cont 527</t>
  </si>
  <si>
    <t>Disponibil din sume primite ca donaţii si sponsorizari cont 550</t>
  </si>
  <si>
    <t>Disponibil pt. sume de mandat şi sume în depozit cont 552</t>
  </si>
  <si>
    <t>Excedent/deficit din anii precedenti (CONT DESCHIS PT CNAS)</t>
  </si>
  <si>
    <t xml:space="preserve">Disponibil al institutiilor publice de subordonare centrala finantate integral din FNUASS din sume indisponibilizate pe baza de titluri executorii </t>
  </si>
  <si>
    <t>5063.01</t>
  </si>
  <si>
    <t>3. Numerar net din activitatea operaţională            (rd. 02 - rd 03)</t>
  </si>
  <si>
    <t>3. Numerar net din activitatea de investiţii              (rd. 06 - rd 07)</t>
  </si>
  <si>
    <r>
      <rPr>
        <b/>
        <sz val="10"/>
        <rFont val="Arial"/>
        <family val="2"/>
        <charset val="238"/>
      </rPr>
      <t xml:space="preserve">IV. CREŞTEREA (DESCREŞTEREA) NETĂ DE NUMERAR ŞI ECHIVALENT DE NUMERAR                     </t>
    </r>
    <r>
      <rPr>
        <sz val="10"/>
        <rFont val="Arial"/>
        <family val="2"/>
      </rPr>
      <t>(rd. 04+ rd. 08+ rd.12)</t>
    </r>
  </si>
  <si>
    <t>Casa in valuta     cont 5314</t>
  </si>
  <si>
    <t>Numerar in lei si in valuta aflat in conturile de disponibilitati deschise la banci cont 512</t>
  </si>
  <si>
    <t>Disp. din fond. cu dest. spec. garanţii materiale  reţinute de la gest. cont 550</t>
  </si>
  <si>
    <t>3. Numerar net din activitatea operaţională (rd. 02- rd 03)</t>
  </si>
  <si>
    <t>3. Numerar net din activitatea de investiţii (rd. 06- rd 07)</t>
  </si>
  <si>
    <t>3. Numerar net din activitatea de finanţare (rd. 10- rd 11)</t>
  </si>
  <si>
    <t>IV. CREŞTEREA (DESCREŞTEREA) NETĂ DE NUMERAR ŞI ECHIVALENT DE NUMERAR (rd. 04+ rd. 08+ rd.12)</t>
  </si>
  <si>
    <t xml:space="preserve">SITUATIA PLATILOR EFECTUATE </t>
  </si>
  <si>
    <t>Plati efectuate in anul precedent si recuperate in anul curent</t>
  </si>
  <si>
    <t>Plati efectuate minus recuperari in anul curent</t>
  </si>
  <si>
    <t>6600.05.70</t>
  </si>
  <si>
    <t>TITLUL I CHELTUIELI DE PERSONAL</t>
  </si>
  <si>
    <t>6605.10</t>
  </si>
  <si>
    <t>Cheltuieli de salarii in bani</t>
  </si>
  <si>
    <t>6605.10.01</t>
  </si>
  <si>
    <t>6605.10.01.01</t>
  </si>
  <si>
    <t>6605.10.01.12</t>
  </si>
  <si>
    <t>6605.10.01.13</t>
  </si>
  <si>
    <t>6605.10.01.14</t>
  </si>
  <si>
    <t>6605.10.01.30</t>
  </si>
  <si>
    <t>Contributii</t>
  </si>
  <si>
    <t>6605.10.03</t>
  </si>
  <si>
    <t>6605.10.03.01</t>
  </si>
  <si>
    <t>Contributii de asigurari de somaj</t>
  </si>
  <si>
    <t>6605.10.03.02</t>
  </si>
  <si>
    <t>Contributii de asigurari sociale de sanatate</t>
  </si>
  <si>
    <t>6605.10.03.03</t>
  </si>
  <si>
    <t xml:space="preserve">Contributii de asigurari pentru accidente de munca si boli profesionale </t>
  </si>
  <si>
    <t>6605.10.03.04</t>
  </si>
  <si>
    <t>6605.10.03.06</t>
  </si>
  <si>
    <t>Consultanţă şi expertiză</t>
  </si>
  <si>
    <t>TITLUL III DABANZI</t>
  </si>
  <si>
    <t>6605.30</t>
  </si>
  <si>
    <t>Alte dobanzi</t>
  </si>
  <si>
    <t>66.05.30.03</t>
  </si>
  <si>
    <t>66.05.30.03.02</t>
  </si>
  <si>
    <t>Active fixe</t>
  </si>
  <si>
    <t>Alte active fixe</t>
  </si>
  <si>
    <t>6605.71.03</t>
  </si>
  <si>
    <t xml:space="preserve">    ~ activitatea curenta</t>
  </si>
  <si>
    <t xml:space="preserve">    ~ personal contractual</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</si>
  <si>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</si>
  <si>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</si>
  <si>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</si>
  <si>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</si>
  <si>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</si>
  <si>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</si>
  <si>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</si>
  <si>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</si>
  <si>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Sume pentru medicamente utilizate in programele nationale cu scop curativ care fac obiectul contractelor de tip COST VOLUM, din care:</t>
  </si>
  <si>
    <t xml:space="preserve">  -  Subprogramul de tratament medicamentos al bolnavilor cu afectiuni oncologice (adulti si copii)</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</si>
  <si>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</si>
  <si>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</si>
  <si>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</si>
  <si>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detratament pentru boli rare</t>
  </si>
  <si>
    <t xml:space="preserve">       Programul national de boli cardiovasculare</t>
  </si>
  <si>
    <t xml:space="preserve">       Programul national de sanatate mintala</t>
  </si>
  <si>
    <t xml:space="preserve">      Subprogramul de recontructie mamara dupa afectiuni oncologice prin endoprotezare</t>
  </si>
  <si>
    <t xml:space="preserve">    ~ Programul national de diagnostic si tratament cu ajutorul aparaturii de inalta performanta, din care:</t>
  </si>
  <si>
    <t xml:space="preserve">   - Subprogramul de diagnostic si tratament al epilepsiei rezistente la tratamentul medicamentos</t>
  </si>
  <si>
    <t xml:space="preserve">    ~ centre de permanenta </t>
  </si>
  <si>
    <t xml:space="preserve">    ~ Subprogramul de monitorizarea a evolutiei bolii la pacientii cu afectiuni oncologice prin PET-CT</t>
  </si>
  <si>
    <t xml:space="preserve">    ~  sume pentru evaluarea anuala a bolnavilor cu diabet zaharat (hemoglobina glicata)</t>
  </si>
  <si>
    <t>Asist.medic.in centre medicale multifunctionale                                                   (servicii medicale de recuperare)</t>
  </si>
  <si>
    <t xml:space="preserve">    ~ Subprogramul de diagnostic si de monitorizare a bolii minime reziduale a bolnavilor cu leucemii acute prin imunofenotipare, examen citogenetic si/sau FISH si de biologie moleculară la copii și adulți</t>
  </si>
  <si>
    <t xml:space="preserve">    ~ Subprogramul de diagnostic genetic  al tumorii solide maligne (sarcom Ewing și neuroblastom) la copii și adulți</t>
  </si>
  <si>
    <t>CHELTUIELI PENTRU ASIGURARI SI ASISTENTA SOCIALA</t>
  </si>
  <si>
    <t>50.05</t>
  </si>
  <si>
    <t>Ajutoare sociale</t>
  </si>
  <si>
    <t>Ajutoare sociale in numerar</t>
  </si>
  <si>
    <t>Angajamente legale TOTAL</t>
  </si>
  <si>
    <t>Angajamente curente</t>
  </si>
  <si>
    <t>BUGET PLATI</t>
  </si>
  <si>
    <t xml:space="preserve">BUGET ANGAJAMENT BUGETAR </t>
  </si>
  <si>
    <t xml:space="preserve">BUGET ANGAJAMENT LEGAL </t>
  </si>
  <si>
    <t>CREDIT DE ANGAJAMENT ANGAJAMENT LEGAL CURENT</t>
  </si>
  <si>
    <t>PLATI ANGAJAMENT BUGETAR</t>
  </si>
  <si>
    <t>ANGAJAMENT LEGAL TOTAL PLATI</t>
  </si>
  <si>
    <t>CHELTUIELI CURENTE</t>
  </si>
  <si>
    <t>5005.01</t>
  </si>
  <si>
    <t>5005.10</t>
  </si>
  <si>
    <t>5005.20</t>
  </si>
  <si>
    <t>5005.30</t>
  </si>
  <si>
    <t>TITLUL VI TRANSFERURU ÎNTRE UNITĂȚI ALE ADMINISTRAȚIEI PUBLICE</t>
  </si>
  <si>
    <t>5005.51</t>
  </si>
  <si>
    <t>TITLUL IX ASISTENTA SOCIALA</t>
  </si>
  <si>
    <t>5005.57</t>
  </si>
  <si>
    <t>5005.59</t>
  </si>
  <si>
    <t>5005.70</t>
  </si>
  <si>
    <t>5005.71</t>
  </si>
  <si>
    <t>6600.05.01</t>
  </si>
  <si>
    <t>Alte drepturi salariale in bani, dc</t>
  </si>
  <si>
    <t xml:space="preserve">     - hotarari judecatoresti</t>
  </si>
  <si>
    <t xml:space="preserve"> - sume pentru servicii poștale în vederea distribuției cardurilor naționale</t>
  </si>
  <si>
    <t>Plati efectuate in anii precedenti si recuperate in anul curent pentru sanatate</t>
  </si>
  <si>
    <t>Medicamente cu si fara contributie personala, din care</t>
  </si>
  <si>
    <t>Medicamente pentru boli cronice cu risc crescut utilizate in programele nationale cu scop curativ, din care</t>
  </si>
  <si>
    <t>Asistenta medicala primara, din care:</t>
  </si>
  <si>
    <t>Asist.medic.in centre med.multifunctionale(servicii medicale de recuperare), din care:</t>
  </si>
  <si>
    <t>Unitati de recuperare-reabilitare a sanatatii, din care:</t>
  </si>
  <si>
    <t>Plati efectuate in anii precedenti si recuperate in anul curent pentru asistenta sociala</t>
  </si>
  <si>
    <t xml:space="preserve">        SITUATIA</t>
  </si>
  <si>
    <t xml:space="preserve">PRIVIND CREDITELE DESCHISE SI PLATILE DE CASA EFECTUATE </t>
  </si>
  <si>
    <t>- lei-</t>
  </si>
  <si>
    <t>CREDITE DESCHISE</t>
  </si>
  <si>
    <t>PLATI DE CASA</t>
  </si>
  <si>
    <t>CREDITE BUGETARE DESCHISE TOTAL, DIN CARE</t>
  </si>
  <si>
    <t>1. SANATATE - din care</t>
  </si>
  <si>
    <t>CHELTUIELI DE PERSONAL</t>
  </si>
  <si>
    <t>CHELTUIELI CU DOBÂNZI DATORATE TREZORERIEI STATULUI</t>
  </si>
  <si>
    <t>TRANSFERURI INTRE UNITATI ALE ADMINISTRATIRI PUBLICE</t>
  </si>
  <si>
    <t>ALTE CHELTUIELI</t>
  </si>
  <si>
    <t xml:space="preserve"> 2. CHELTUIELI PENTRU ASIGURĂRI ȘI ASISITENTĂ SOCIALĂ</t>
  </si>
  <si>
    <t>DENUMIRE</t>
  </si>
  <si>
    <t>SUMA ÎN LEI</t>
  </si>
  <si>
    <t>Alte venituri din activitatea de evaluare  spitale ce au în structură  peste 400 paturi</t>
  </si>
  <si>
    <t>Alte venituri din activitatea de evaluare spitale ce au în structură  până la  400 paturi</t>
  </si>
  <si>
    <t>Alte venituri din activitatea de evaluare   a serviciilor de îngrijiri medicale la domiciliu</t>
  </si>
  <si>
    <t>Alte venituri din activitatea de evaluare de  farmacii comunitare</t>
  </si>
  <si>
    <t>Alte venituri din activitatea de evaluare  oficine comunitare locale de distribuţie</t>
  </si>
  <si>
    <t>Alte venituri din activitatea de evaluare  cabinete de medicină dentară</t>
  </si>
  <si>
    <t>Alte venituri din activitatea de evaluare a furnizorilor de investigaţii medicale paraclinice - radiologie şi imagistică medicală</t>
  </si>
  <si>
    <t>Alte venituri din activitatea de evaluare a furnizorilor de investigaţii medicale paraclinice - analize medicale de  laborator</t>
  </si>
  <si>
    <t>Alte venituri din activitatea de  evaluare  cabinete medicale de medicină de familie, cabinete medicale de specialitate, centre medicale, centre de diagnostic şi tratament şi centrele de sănătate</t>
  </si>
  <si>
    <t>Alte venituri din activitatea de evaluare  centre de dializa</t>
  </si>
  <si>
    <t>Alte venituri din activitatea de evaluare servicii de  urgenta prespitaliceasca</t>
  </si>
  <si>
    <t>Alte venituri din activitatea de evaluare  furnizorii de transport sanitar</t>
  </si>
  <si>
    <t>Alte venituri din activitatea de evaluare a furnizorilor de  dispozitive medicale</t>
  </si>
  <si>
    <t>PUBLICE CU PATURI</t>
  </si>
  <si>
    <t xml:space="preserve"> DENUMIRE SPITAL</t>
  </si>
  <si>
    <t xml:space="preserve">VALOARE </t>
  </si>
  <si>
    <t>TOTAL, din care:</t>
  </si>
  <si>
    <t xml:space="preserve">    - lei - </t>
  </si>
  <si>
    <t>Denumire indicator</t>
  </si>
  <si>
    <t xml:space="preserve"> Sumele alocate din bugetul de stat, altele decat cele de echilibrare, prin bugetul Ministerului Sanatatii</t>
  </si>
  <si>
    <t>Medicamente cu si fara contributie personala, din care:</t>
  </si>
  <si>
    <t>Asistenta medicala primara din care:</t>
  </si>
  <si>
    <t xml:space="preserve">    ~ centre de permanenta</t>
  </si>
  <si>
    <t>Asistenta medicala stomatologica din care:</t>
  </si>
  <si>
    <t>Unitati de recuperare - reabilitare a sanatatii, din care:</t>
  </si>
  <si>
    <t xml:space="preserve"> lei</t>
  </si>
  <si>
    <t xml:space="preserve">                    DENUMIRE INDICATOR</t>
  </si>
  <si>
    <r>
      <rPr>
        <b/>
        <sz val="10"/>
        <rFont val="Arial"/>
        <family val="2"/>
      </rPr>
      <t xml:space="preserve">Total,    
   </t>
    </r>
    <r>
      <rPr>
        <b/>
        <i/>
        <sz val="10"/>
        <rFont val="Arial"/>
        <family val="2"/>
      </rPr>
      <t>din car</t>
    </r>
    <r>
      <rPr>
        <b/>
        <sz val="10"/>
        <rFont val="Arial"/>
        <family val="2"/>
      </rPr>
      <t>e:</t>
    </r>
  </si>
  <si>
    <t>Spital</t>
  </si>
  <si>
    <t>Ambulatoriu</t>
  </si>
  <si>
    <t>7=8+9</t>
  </si>
  <si>
    <t>Programul national de sanatate mintala, din care:</t>
  </si>
  <si>
    <t xml:space="preserve">    - materiale sanitare</t>
  </si>
  <si>
    <t xml:space="preserve"> Subprogramul de radiologie interventionala, din care: </t>
  </si>
  <si>
    <t xml:space="preserve"> Subprogramul de diagnostic si tratament al epilepsiei rezistente la tratamentul medicamentos</t>
  </si>
  <si>
    <t>Subprogramul de tratament al durerii neuropate prin implant de neurostimulator medular</t>
  </si>
  <si>
    <t>Program national  de diabet zaharat, din care:</t>
  </si>
  <si>
    <t>Subprogramul de reconstructie mamara dupa afectiuni oncologice prin endoprotezare</t>
  </si>
  <si>
    <t>PLATI EFECT IN ANII PRECED. SI RECUPERATE IN ANUL CURENT - SANATATE</t>
  </si>
  <si>
    <t>PLATI EFECT IN ANII PRECED. SI RECUPERATE IN ANUL CURENT - ASISTENTA SOCIALA</t>
  </si>
  <si>
    <t>CHELTUIELI PENTRU ASIGURĂRI ȘI ASISITENTĂ SOCIALĂ</t>
  </si>
  <si>
    <t>PLATI EFECTUATE IN ANII PRECEDENTI SI RECUPERATE IN ANUL CURENT</t>
  </si>
  <si>
    <t xml:space="preserve">Cod         Capitol 6608      Subcapitol </t>
  </si>
  <si>
    <t>Prefinantare</t>
  </si>
  <si>
    <t>48.08.15.03</t>
  </si>
  <si>
    <t>6608</t>
  </si>
  <si>
    <t>TOTAL GRUPA 1</t>
  </si>
  <si>
    <t>TOTAL GRUPA 2</t>
  </si>
  <si>
    <t>TOTAL GRUPA 3</t>
  </si>
  <si>
    <t>TOTAL GRUPA 4</t>
  </si>
  <si>
    <t>TOTAL GRUPA 5</t>
  </si>
  <si>
    <t>TOTAL GRUPA 7</t>
  </si>
  <si>
    <t>TOTAL GENERAL</t>
  </si>
  <si>
    <t>Fondul bunurilor care alc domeniul public al statului</t>
  </si>
  <si>
    <t>Fondul bunurilor care alcătuiesc domeniul privat al statului</t>
  </si>
  <si>
    <t>Fondul bunurilor care alcatuiesc dom public al unit adm teritoriale</t>
  </si>
  <si>
    <t>Rezerve din reevaluarea  terenurilor si amenajarilor  de terenuri</t>
  </si>
  <si>
    <t>Rezerve din reevaluarea constructiilor</t>
  </si>
  <si>
    <t>Rezerve din reevaluara instalatiilor tehnice, mijloace de transport, animale si plantatii</t>
  </si>
  <si>
    <t>Rezerve din reevaluarea mobilierului, aparaturii birotice, echipamentelor de protectiea valorilor umane si materiale si a altor active corporale</t>
  </si>
  <si>
    <t>Rezerve din reevaluarea altor active ale statului</t>
  </si>
  <si>
    <t>Rezultatul reportat</t>
  </si>
  <si>
    <t xml:space="preserve">Rezultatul patrimonial </t>
  </si>
  <si>
    <t>Fondul de rezerva constituit conform legii 95/2006</t>
  </si>
  <si>
    <t>Provizioane sub un an pentru litigii,amenzi,penalit.,despăgubiri,daune şi alte datorii incerte</t>
  </si>
  <si>
    <t xml:space="preserve">Provizioane sub un an pentru litigii din drepturi salariale câştigate în instanţă </t>
  </si>
  <si>
    <t>Provizioane peste un an pentru litigii,amenzi,penalit.,despăgubiri,daune şi alte datorii incerte</t>
  </si>
  <si>
    <t xml:space="preserve">Provizioane peste un an pentru litigii din drepturi salariale câştigate în instanţă </t>
  </si>
  <si>
    <t>Sume primite pentru acoperirea deficitului bugetului FNUASS din contul curent general al trezoretiei statuluiI(pentru sumele ce urmează a fi plătite în exerciţiul curent)</t>
  </si>
  <si>
    <t>Sume primite pentru acoperirea deficitului bugetului FNUASS din contul curent general al trezoretiei statuluiI(pentru sumele ce urmează a fi plătite în cursul exerciţiilor viitoare)</t>
  </si>
  <si>
    <t>Concesiuni,brevete, licente, marci com, drepturi şi active similare</t>
  </si>
  <si>
    <t>Programe informatice</t>
  </si>
  <si>
    <t>Alte active fixe necorporale</t>
  </si>
  <si>
    <t>Terenuri</t>
  </si>
  <si>
    <t>Amenajari la terenuri</t>
  </si>
  <si>
    <t>Constructii-alte active fixe încadrate în grupa de construcţii</t>
  </si>
  <si>
    <t>Echipamente tehnologice(masini,utilaje si instal de lucru)</t>
  </si>
  <si>
    <t>Mijloace de transport</t>
  </si>
  <si>
    <t>Mobilier, ap birotica,ech protecţie a valorilor mat. şi umane si alte active fixe corp.</t>
  </si>
  <si>
    <t>Alte active ale statului</t>
  </si>
  <si>
    <t>Active fixe corporale in curs de executie</t>
  </si>
  <si>
    <t>Avansuri acordate pentru active fixe corporale</t>
  </si>
  <si>
    <t>Active fixe necorporale in curs de executie</t>
  </si>
  <si>
    <t>Avansuri acordate pentru active fixe necorporale</t>
  </si>
  <si>
    <t>Împr. ac. pe termen lung( ce urmează a fi înc. în cursul exerciţiul crt.)-altele</t>
  </si>
  <si>
    <t>Alte creante imobilizate (ce urmează a fi înc. în cursul exerciţiul crt.)</t>
  </si>
  <si>
    <t>Împr. ac. pe termen lung( ce urmează a fi înc. în cursul exerc. viitoare)-altele</t>
  </si>
  <si>
    <t>Alte creante imobilizate ( ce urmează a fi înc. în cursul exerc. viitoare)</t>
  </si>
  <si>
    <t>Dobinzi aferente imprumuturilor acordate pe termen lung- altele</t>
  </si>
  <si>
    <t>Dobinzi aferente altor creante imobilizate</t>
  </si>
  <si>
    <t>Amortizarea concesiunilor brevetelor, licentelor,marcilor comerciale,drepturilor si activelor similare</t>
  </si>
  <si>
    <t>Amortizarea altor active fixe necorporale</t>
  </si>
  <si>
    <t>Amortizarea amenajarilor la terenuri</t>
  </si>
  <si>
    <t>Amortizare mobilier, ap birotica,ech protecţie a valorilor mat. şi umane si alte active fixe corp.</t>
  </si>
  <si>
    <t>Ajustari pentru deprecierea cheltuielilor de dezvoltare</t>
  </si>
  <si>
    <t>Ajustari pentru deprecierea concesiunilor, brevetelor, licentelor, marcilor comerciale,drepturilor si activelor similare</t>
  </si>
  <si>
    <t>Ajustari pentru deprecierea altor active fixe necorporale</t>
  </si>
  <si>
    <t>Ajustari pentru deprecierea terenurilor si amenajarilor de terenuri</t>
  </si>
  <si>
    <t>Ajustari pentru deprecierea constructiilor</t>
  </si>
  <si>
    <t>Ajustari pentru deprecierea instalatiilor tehnice, mijloacelor de transport</t>
  </si>
  <si>
    <t>Ajustari pentru deprecierea mobilierului aparaturii birotice, echipamentului de protectie a valorilor umane si materiale si a altor active fixe corporale</t>
  </si>
  <si>
    <t>Ajustari pentru deprecierea activelor fixe necorporale in curs de executie</t>
  </si>
  <si>
    <t>Ajustari pentru deprecierea activelor fixe corporale in curs de executie</t>
  </si>
  <si>
    <t>Materiale auxiliare</t>
  </si>
  <si>
    <t>Combustibili</t>
  </si>
  <si>
    <t>Alte materiale consumabile</t>
  </si>
  <si>
    <t>Materiale de natura obiectelor de inventar in magazie</t>
  </si>
  <si>
    <t>Materiale de natura obiectelor de inventar in folosinta</t>
  </si>
  <si>
    <t>Materii si materiale aflate la terti</t>
  </si>
  <si>
    <t>Materiale de natura obiectelor de inventar aflate la terti</t>
  </si>
  <si>
    <t>Furnizori sub un an</t>
  </si>
  <si>
    <t>Furnizori de active fixe sub 1 an</t>
  </si>
  <si>
    <t>Furnizori-facturi nesosite</t>
  </si>
  <si>
    <t xml:space="preserve">Furnizori -debitori pentru cumparari de bunuri de natura stocurilor </t>
  </si>
  <si>
    <t>Furnizori -debitori pentru prestari de servicii si executari de lucrari</t>
  </si>
  <si>
    <t>Clienti cu termen sub 1 an</t>
  </si>
  <si>
    <t>Clienti cu termen peste 1 an</t>
  </si>
  <si>
    <t>Clienti-creditori</t>
  </si>
  <si>
    <t>Personal - salarii datorate</t>
  </si>
  <si>
    <t>Personal-ajutoare şi indemnizaţii datorate</t>
  </si>
  <si>
    <t>Avansuri acordate personalului</t>
  </si>
  <si>
    <t>Drepturi de personal neridicate</t>
  </si>
  <si>
    <t>Retineri din salarii datorate tertilor</t>
  </si>
  <si>
    <t xml:space="preserve">Contributiile angajatorilor pentru asigurările sociale </t>
  </si>
  <si>
    <t>Contributiile asiguratilor pentru asigurarile sociale</t>
  </si>
  <si>
    <t>Contrib. angajator pentru asigurarile sociale de sanatate</t>
  </si>
  <si>
    <t>Contrib. asiguraţilor pentru asigurarile sociale de sanatate</t>
  </si>
  <si>
    <t>Contrib. angajatorilor pentru accid. munca si boli prof.</t>
  </si>
  <si>
    <t xml:space="preserve">Contrib. angaj. pentru concedii si indemnizatii </t>
  </si>
  <si>
    <t>Contributiile angaj. pentru asigurari de somaj</t>
  </si>
  <si>
    <t>Contributiile asig. pentru asigurari de somaj</t>
  </si>
  <si>
    <t>Impozitul pe venitul din salarii şi din alte drepturi</t>
  </si>
  <si>
    <t>Alte impozite, taxe si varsaminte asimilate</t>
  </si>
  <si>
    <t>Alte datorii fata de buget</t>
  </si>
  <si>
    <t>Alte creanţe fata de buget</t>
  </si>
  <si>
    <t>Sume de prim.  C. E. reprez.venituri ale FNUASS</t>
  </si>
  <si>
    <t>Sume de primit de la Autorităţile de Management FEN</t>
  </si>
  <si>
    <t>Debitori sub 1 an-creanţe comerciale</t>
  </si>
  <si>
    <t>Debitori peste 1 an-creanţe comerciale</t>
  </si>
  <si>
    <t>Creante ale bugetului FNUASS</t>
  </si>
  <si>
    <t xml:space="preserve">Creditori ai bugetului FNUASS </t>
  </si>
  <si>
    <t>Cheltuieli înregistrate in avans</t>
  </si>
  <si>
    <t>Venituri înregistrate în avans</t>
  </si>
  <si>
    <t>Decontari din operatii in curs de clarificare FEN</t>
  </si>
  <si>
    <t>Decontari din operatii in curs de clarificare alte dat. crt.</t>
  </si>
  <si>
    <t>Alte decontari</t>
  </si>
  <si>
    <t>Ajustări pentru deprecierea creanţelor bugetare</t>
  </si>
  <si>
    <t>Conturi la trezorerie în lei</t>
  </si>
  <si>
    <t>Conturi la instit. de credit în lei</t>
  </si>
  <si>
    <t>Conturi la instituţii de credit în valută</t>
  </si>
  <si>
    <t>Dobinzi de încasat-conturi la instituţii de credit</t>
  </si>
  <si>
    <t>Disponibil din fondul de rezerva constit cf. Legii 95/2006</t>
  </si>
  <si>
    <t>Disponibil din sume încas. în cursul. proc. de exec silita</t>
  </si>
  <si>
    <t>Casa în lei</t>
  </si>
  <si>
    <t>Casa în valută</t>
  </si>
  <si>
    <t>Timbre fiscale si postale</t>
  </si>
  <si>
    <t>Bonuri valorice pentru carburanti auto</t>
  </si>
  <si>
    <t>Bilete cu valoare nominala</t>
  </si>
  <si>
    <t>Tichete de masa</t>
  </si>
  <si>
    <t>Alte valori</t>
  </si>
  <si>
    <t>Avansuri de trezorerie în lei</t>
  </si>
  <si>
    <t>Disp. din fonduri cu destinatie speciala la trezorerie</t>
  </si>
  <si>
    <t>Disp. din fonduri cu dest. speciala la instit.de credit.</t>
  </si>
  <si>
    <t>Disponibil pentru sume de mandat si sume in depozit</t>
  </si>
  <si>
    <t>Disponibil din veniturile FNUASS</t>
  </si>
  <si>
    <t>Rezultatul executiei bugetare din anii precedenţi</t>
  </si>
  <si>
    <t>Finanţare de la buget</t>
  </si>
  <si>
    <t xml:space="preserve">SOLDUL CONTURILOR  INSCRISE IN BILANT </t>
  </si>
  <si>
    <t xml:space="preserve">       ~sume cost volum rezultat</t>
  </si>
  <si>
    <t>Asist.medic.in centre medicale multifunctionale   (servicii medicale de recuperare)</t>
  </si>
  <si>
    <t>Alte datorii  in legatura cu personalul -garantii gestionari</t>
  </si>
  <si>
    <t>Alte creante in legatura cu personalul-sub 1 an</t>
  </si>
  <si>
    <t>Alte datorii  in legatura cu personalul-peste 1 an</t>
  </si>
  <si>
    <t>Alte creante in legatura cu personalul-peste 1 an</t>
  </si>
  <si>
    <t>Contributii pentru concedii si indemnizatii de la persoane juridice sau fizice</t>
  </si>
  <si>
    <t>20.07</t>
  </si>
  <si>
    <t>20.07.01</t>
  </si>
  <si>
    <t>20.07.02</t>
  </si>
  <si>
    <t>Alte bunuri si servicii pentru intretinere si functionare, din care:</t>
  </si>
  <si>
    <t xml:space="preserve">  -  sume pentru servicii de mentenanță și suport tehnic ERP</t>
  </si>
  <si>
    <t xml:space="preserve">    ~ medicamente 40% - conform HG nr. 186/2009 privind aprobarea Programului pentru compensarea cu 90% a prețului de referință al medicamentelor, cu modificările și completările ulterioare</t>
  </si>
  <si>
    <t xml:space="preserve">    ~  sume pentru evaluarea anuala a bolnavilor cu diabet zaharat (hemoglobina glicată)</t>
  </si>
  <si>
    <t xml:space="preserve">    ~ Programul national de diagnostic si tratament cu ajutorul aparaturii de inalta perfomanta </t>
  </si>
  <si>
    <t>Transferuri din bugetul fondului național unic de asigurări sociale de sănătate către unitățile sanitare pentru acoperirea creșterilor salariale, din care:</t>
  </si>
  <si>
    <t>Contribuții pentru concedii și indemnizații datorate de asigurați</t>
  </si>
  <si>
    <t>21.25</t>
  </si>
  <si>
    <t xml:space="preserve">  ~Subprogramul de radioterapie a bolnavilor cu afectiuni oncologice</t>
  </si>
  <si>
    <r>
      <t xml:space="preserve">Sume pentru medicamente utilizate in programele nationale cu scop curativ care fac obiectul contractelor de tip </t>
    </r>
    <r>
      <rPr>
        <b/>
        <sz val="11"/>
        <rFont val="Arial"/>
        <family val="2"/>
        <charset val="238"/>
      </rPr>
      <t>COST VOLUM</t>
    </r>
    <r>
      <rPr>
        <b/>
        <sz val="10"/>
        <rFont val="Arial"/>
        <family val="2"/>
        <charset val="238"/>
      </rPr>
      <t>, din care:</t>
    </r>
  </si>
  <si>
    <t xml:space="preserve">Sume alocate din veniturile proprii ale Ministerului Sanatatii </t>
  </si>
  <si>
    <t>Disponibil în lei din fonduri externe nerambursabile la trezorerie- venituri ale bugetului fondurilo esterne nerambursabile sursa D</t>
  </si>
  <si>
    <t>Avansuri primite de la autoritățile  de certificare/agenții de managment/ agenții de plăți - fonduri externe nerambursabile postaderare</t>
  </si>
  <si>
    <t>Contributia individuala de asigurari sociale de sanatate datorata de persoanele care realizeaza venituri obtinute dintr-o asociere cu o persoana juridica</t>
  </si>
  <si>
    <t>21.26</t>
  </si>
  <si>
    <t>CONTRACTELOR COST VOLUM/COST VOLUM-REZULTAT</t>
  </si>
  <si>
    <r>
      <t xml:space="preserve">Denumire program:  </t>
    </r>
    <r>
      <rPr>
        <b/>
        <sz val="12"/>
        <rFont val="Times New Roman"/>
        <family val="1"/>
      </rPr>
      <t xml:space="preserve">PROGRAM PRIVIND MEDICAMENTELE CARE FAC OBIECTUL </t>
    </r>
  </si>
  <si>
    <t xml:space="preserve">PROGRAMUL PRIVIND MEDICAMENTELE CARE FAC OBIECTUL </t>
  </si>
  <si>
    <t>CONTRACTELOR COST VOLUM/COST VOLUM - REZULTAT</t>
  </si>
  <si>
    <t>COD PROGRAM:  1704</t>
  </si>
  <si>
    <t>Cost mediu/ tratament lei</t>
  </si>
  <si>
    <t>Numar asigurati beneficiari ai programului</t>
  </si>
  <si>
    <r>
      <t>Disponibilităţi</t>
    </r>
    <r>
      <rPr>
        <b/>
        <sz val="11"/>
        <color indexed="8"/>
        <rFont val="Arial"/>
        <family val="2"/>
        <charset val="238"/>
      </rPr>
      <t xml:space="preserve"> în lei</t>
    </r>
    <r>
      <rPr>
        <sz val="11"/>
        <color indexed="8"/>
        <rFont val="Arial"/>
        <family val="2"/>
        <charset val="238"/>
      </rPr>
      <t xml:space="preserve"> ale instituţiilor publice, de asigurări centrale şi instituţiilor din subordinea acestora la trezorerii (ct.5120101+ct.5120501+ct.5130101+ ct. 5130301+ ct. 5130302+ct.5140101+ ct. 5140301 + ct. 5140302+ct.5150101+ct. 5150103+ct 5150500+ct 5150600+ ct.5250101+ct.5250102+ct 5250301+ct.5250302+ct.5260000+ct.5270000 + ct.5290301+ ct.5290901+ct.5410101+ct. 5500101+ ct.5520000+ct.5580101+  ct.5580201+ ct.5600101+ct 5600300+ ct.5610101+ct. 5610300+ ct.5620101+ ct.5710100+ct 5710300+ ct.5740101+ ct.5740102+ct 5740301+ct 5740302 - </t>
    </r>
    <r>
      <rPr>
        <b/>
        <sz val="11"/>
        <color indexed="8"/>
        <rFont val="Arial"/>
        <family val="2"/>
        <charset val="238"/>
      </rPr>
      <t>7700000</t>
    </r>
    <r>
      <rPr>
        <sz val="11"/>
        <color indexed="8"/>
        <rFont val="Arial"/>
        <family val="2"/>
        <charset val="238"/>
      </rPr>
      <t>), din care :</t>
    </r>
  </si>
  <si>
    <r>
      <t xml:space="preserve">Denumire program:  </t>
    </r>
    <r>
      <rPr>
        <b/>
        <sz val="12"/>
        <rFont val="TimesRomanR"/>
        <charset val="238"/>
      </rPr>
      <t>PROGRAME NAŢIONALE DE SĂNĂTATE CURATIVE</t>
    </r>
  </si>
  <si>
    <t>PROGRAM: PROGRAME NATIONALE DE SANATATE CURATIVE</t>
  </si>
  <si>
    <t>42.74</t>
  </si>
  <si>
    <t>Sume alocate bugetului Fondului naţional unic de asigurări sociale de sănătate, pentru acoperirea deficitului rezultat din aplicarea prevederilor legale referitoare la concediile şi indemnizaţiile de asigurări sociale de sănătate</t>
  </si>
  <si>
    <t>PRIVATE CU PATURI</t>
  </si>
  <si>
    <t>Rezultatul executiei bugetare din anii precedenţi - sursa D</t>
  </si>
  <si>
    <t>CODUL ACTIVITĂŢII CAEN: 8430</t>
  </si>
  <si>
    <t>5000.01</t>
  </si>
  <si>
    <t>5000.10</t>
  </si>
  <si>
    <t>5000.20</t>
  </si>
  <si>
    <t>5000.30</t>
  </si>
  <si>
    <t>5000.51</t>
  </si>
  <si>
    <t>5000.57</t>
  </si>
  <si>
    <t>5000.85</t>
  </si>
  <si>
    <t>5000.58</t>
  </si>
  <si>
    <t>5000.70</t>
  </si>
  <si>
    <t>5000.59</t>
  </si>
  <si>
    <t>5000.71</t>
  </si>
  <si>
    <t>20.1200</t>
  </si>
  <si>
    <t>Venituri din contribuția asiguratorie pentru muncă pentru concedii și indemnizații</t>
  </si>
  <si>
    <t>21.2500</t>
  </si>
  <si>
    <t>21.2600</t>
  </si>
  <si>
    <t>21.2700</t>
  </si>
  <si>
    <t>Diferențe aferente contribuției de asigurări sociale de sănătate</t>
  </si>
  <si>
    <t>Venituri incasate in urma valorificarii creantelor de catre AAAS</t>
  </si>
  <si>
    <t>20.03.04</t>
  </si>
  <si>
    <t>20.03.05</t>
  </si>
  <si>
    <t xml:space="preserve">Contributii pentru concedii si indemnizatii de la persoane juridice sau fizice </t>
  </si>
  <si>
    <t>Contributii  pt. pentru concedii  si indemnizatii datorate de asigurati</t>
  </si>
  <si>
    <t>21.03.03</t>
  </si>
  <si>
    <t>21.09</t>
  </si>
  <si>
    <t>Contributii de la persoane care realizeaza venituri de natură profesională cu caracter ocazional</t>
  </si>
  <si>
    <t>6605.10.01.05</t>
  </si>
  <si>
    <t>Spor penru condiții de muncă</t>
  </si>
  <si>
    <t>6605.10.02</t>
  </si>
  <si>
    <t>6605.10.02.06</t>
  </si>
  <si>
    <t>Cheltuieli salariale în natură</t>
  </si>
  <si>
    <t>Vouchere de vacanță</t>
  </si>
  <si>
    <t>6605.10.03.07</t>
  </si>
  <si>
    <t>6605.10.03.08</t>
  </si>
  <si>
    <t>Contribuția asiguratorie pentru muncă</t>
  </si>
  <si>
    <t>Contribuții plătite de angajator în numele angajatului</t>
  </si>
  <si>
    <t>6605.58.15.02</t>
  </si>
  <si>
    <t>6605.58.15.03</t>
  </si>
  <si>
    <t>Cheltuieli neeligibile</t>
  </si>
  <si>
    <t>68.05.01</t>
  </si>
  <si>
    <t>TITLUL IX  - Asistenta sociala</t>
  </si>
  <si>
    <t>6605.59.40</t>
  </si>
  <si>
    <t>Sume aferente persoanelor cu hadicap neîncadrate</t>
  </si>
  <si>
    <t>10.02</t>
  </si>
  <si>
    <t>10.02.06</t>
  </si>
  <si>
    <t>10.02.</t>
  </si>
  <si>
    <t>10.01.05</t>
  </si>
  <si>
    <t>10.03.07</t>
  </si>
  <si>
    <t>10.03.08</t>
  </si>
  <si>
    <t>Amortiz. constr. – alte active fixe încadrate în grupa construcții</t>
  </si>
  <si>
    <t>Amortizare echipam tehnolog.(masini, utilaje, instalatii)</t>
  </si>
  <si>
    <t>Sume avansate de C E/alţi donatori - FEN POSTADERARE</t>
  </si>
  <si>
    <t>Disponibil în lei din FEN la instituţii de credit</t>
  </si>
  <si>
    <t>Disponibil în valută din FEN la instituţii de credit</t>
  </si>
  <si>
    <r>
      <t xml:space="preserve">Creanţe din operaţiuni comerciale, avansuri şi alte decontări </t>
    </r>
    <r>
      <rPr>
        <sz val="11"/>
        <rFont val="Arial"/>
        <family val="2"/>
      </rPr>
      <t>(ct.2320000+2340000+4090101+4090102+4110101+ 4110108+ 4130100+ 4180000+4250000+4280102+ 4610101+  4610109 +4730109**+4810101+ 4810102+ 4810103+4810900+ 4830000+4840000 + 4890101+4890301 - 4910100- 4960100+5120800), din care:</t>
    </r>
  </si>
  <si>
    <r>
      <t xml:space="preserve">Avansuri acordate                                                                  </t>
    </r>
    <r>
      <rPr>
        <sz val="12"/>
        <rFont val="Times New Roman"/>
        <family val="1"/>
        <charset val="238"/>
      </rPr>
      <t xml:space="preserve"> (ct. 23200000+2340000+4090101+4090102)</t>
    </r>
  </si>
  <si>
    <r>
      <t>Creanţe bugetare</t>
    </r>
    <r>
      <rPr>
        <sz val="11"/>
        <rFont val="Arial"/>
        <family val="2"/>
      </rPr>
      <t xml:space="preserve">                                                                               (ct. 4310100**+4310200**+4310300**+4310400**+ 4310500**+4310600**+ 4310700**+4370100**+4370200**+ 4370300**+ 4420400+ 4420802+ 4440000**+4460100**+4460200**+4480200+ 4610102+4610104+ 4630000+ 4640000 + 4650100+4650200+4660401+ 4660402+ 4660500+ 4660900+ 4810101**+ 4810102**+ 4810103**+ 4810900**  - 4970000), din care:</t>
    </r>
  </si>
  <si>
    <r>
      <t>Creanţele  bugetului general consolidat</t>
    </r>
    <r>
      <rPr>
        <sz val="11"/>
        <rFont val="Arial"/>
        <family val="2"/>
      </rPr>
      <t xml:space="preserve"> (ct.4630000+4640000+4650100+4650200+4660401+      4660402+ 4660500+ 4660900 - 4970000) </t>
    </r>
  </si>
  <si>
    <r>
      <t xml:space="preserve">  Creanţe  din operaţiuni cu fonduri externe nerambursabile şi fonduri de la buget </t>
    </r>
    <r>
      <rPr>
        <sz val="11"/>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</si>
  <si>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Conturi la trezorerie, casa în lei </t>
    </r>
    <r>
      <rPr>
        <sz val="11"/>
        <rFont val="Arial"/>
        <family val="2"/>
      </rPr>
      <t>(ct.5100000+5120101+5120501+5130101+      5130301+5130302+ 5140101 +5140301+5140302+  5150101+5150103+ 5150301 +5150500+5150600+ 5160101+5160301+5160302+5170101+5170301+5170302+5200100 + 5210100 + 5210300 + 5230000 + 5250101 + 5250102 + 5250301+5250302 + 5250400 + 5260000 +5270000 + 5280000 + 5290101+  5290201+ 5290301 + 5290400+ 5290901+5310101+5410101+ 5500101+ 5520000+ 5550101 +5550400+ 5570101+  5580101 + 5580201+ 5590101+ 5600101 + 5600300+ 5600401+ 5610100 + 5610300+ 5620101 +5620300+5620401+ 5710100 +  5710300 + 5710400 + 5740101 + 5740102+ 5740301+ 5740302 +5740400 +5750100 + 5750300 + 5750400-</t>
    </r>
    <r>
      <rPr>
        <sz val="11"/>
        <rFont val="Arial"/>
        <family val="2"/>
        <charset val="238"/>
      </rPr>
      <t xml:space="preserve">7700000) </t>
    </r>
  </si>
  <si>
    <r>
      <t xml:space="preserve">Sume necurente- sume ce urmează a fi  plătite după o perioadă mai mare de un an </t>
    </r>
    <r>
      <rPr>
        <sz val="11"/>
        <rFont val="Arial"/>
        <family val="2"/>
      </rPr>
      <t>(ct.2690200+4010200+4030200+4040200+4050200+   4280201+ 4620201+ 4620209 + 5090000),  din care:</t>
    </r>
  </si>
  <si>
    <r>
      <t xml:space="preserve">Decontări privind încheierea execuţiei bugetului de stat din anul curent  </t>
    </r>
    <r>
      <rPr>
        <sz val="11"/>
        <rFont val="Arial"/>
        <family val="2"/>
        <charset val="238"/>
      </rPr>
      <t>(ct 4890201)</t>
    </r>
  </si>
  <si>
    <r>
      <t xml:space="preserve">Avansuri primite </t>
    </r>
    <r>
      <rPr>
        <sz val="12"/>
        <rFont val="Times New Roman"/>
        <family val="1"/>
        <charset val="238"/>
      </rPr>
      <t>(ct. 4190000)</t>
    </r>
  </si>
  <si>
    <r>
      <t xml:space="preserve">Contribuţii sociale  </t>
    </r>
    <r>
      <rPr>
        <sz val="11"/>
        <rFont val="Arial"/>
        <family val="2"/>
      </rPr>
      <t xml:space="preserve">                        (ct.4310100+4310200+4310300+4310400+4310500+ 4310600+ 4310700+ 4370100+ 4370200+4370300)</t>
    </r>
  </si>
  <si>
    <r>
      <t xml:space="preserve">Datorii din operaţiuni cu Fonduri externe nerambursabile şi fonduri de la buget, alte datorii către alte organisme internaţionale                                             </t>
    </r>
    <r>
      <rPr>
        <sz val="11"/>
        <rFont val="Arial"/>
        <family val="2"/>
      </rPr>
      <t>(ct.4500200+4500400+4500600+4510200+ 4510401+4510402+4510409+4510601+4510602 + 4510603+4510605+4510606+ 4510609+ 4520100 + 4520200+4530200+4540200+ 4540401+4540402+  4540601+4540602+4540603+ 4550200+ 4550401+ 4550402+4550403+4550404+4550409+4560400+ 4580401+ 4580402+ 4580501+4580502+4590000+ 4620103+ 4730103+4760000)</t>
    </r>
  </si>
  <si>
    <t xml:space="preserve">Anexa nr.20 b </t>
  </si>
  <si>
    <t xml:space="preserve">Situaţia sumelor primite indirect de la Comisia Europeană/alţi donatori şi a plăţilor din FEN postaderare  </t>
  </si>
  <si>
    <t xml:space="preserve">     cod 33</t>
  </si>
  <si>
    <t xml:space="preserve">Sold la începutul  anului  </t>
  </si>
  <si>
    <t>Încasări FEN (inclusiv top up)</t>
  </si>
  <si>
    <t>Dobânzi/ comisioane</t>
  </si>
  <si>
    <t>Încasări din conturi de debite FEN ani precedenţi</t>
  </si>
  <si>
    <t>Încasări de la Buget de stat pt.indisponibilităţi  şi din venituri din privatizare</t>
  </si>
  <si>
    <t xml:space="preserve">Plăţi efectuate din FEN </t>
  </si>
  <si>
    <t>din care plăţi, către/pentru:</t>
  </si>
  <si>
    <t>Agenţii de plăţi</t>
  </si>
  <si>
    <t>Buget de stat*</t>
  </si>
  <si>
    <t>Bugete locale*</t>
  </si>
  <si>
    <t>BASS*</t>
  </si>
  <si>
    <t>Şomaj*</t>
  </si>
  <si>
    <t>Sănătate*</t>
  </si>
  <si>
    <t xml:space="preserve">Instituţii finanţate din venituri proprii/ venituri proprii şi subvenţii* </t>
  </si>
  <si>
    <t>Alţi beneficiari( fermieri, ONG, soc.com. etc.)</t>
  </si>
  <si>
    <t>Plăţi efectuate din Buget de stat şi din venituri din privatizare</t>
  </si>
  <si>
    <t>Diferenţe de curs favorabile/ nefavorabile</t>
  </si>
  <si>
    <t>6=(7+..+14)</t>
  </si>
  <si>
    <t>17=(1+2+3+4++5-6-15+16)</t>
  </si>
  <si>
    <t>Programe din Fondul European de Dezvoltare Regională (FEDR ) 2007-2013</t>
  </si>
  <si>
    <t>Programe din Fondul Social European (FSE) 2007-2013</t>
  </si>
  <si>
    <t>Programe din Fondul de Coeziune (FC) 2007-2013</t>
  </si>
  <si>
    <t>Programe din Fondul European Agricol de Dezvoltare Rurală  (FEADR) 2007-2013</t>
  </si>
  <si>
    <t>Programe din Fondul European pentru Pescuit (FEP)</t>
  </si>
  <si>
    <t>Programe din Fondul European de Garantare Agricolă (FEGA) 2007-2013</t>
  </si>
  <si>
    <t>Programe Instrumentul de Asistenţă pentru Preaderare (IPA)</t>
  </si>
  <si>
    <t>Programe Instrumentul European de Vecinătate şi Parteneriat (ENPI)</t>
  </si>
  <si>
    <t>Sume aferente Fondului European pentru Refugiati</t>
  </si>
  <si>
    <t>Sume aferente Fondului European de Returnare</t>
  </si>
  <si>
    <t>Sume aferente Fondului European de integrare a resortisanţilor ţărilor terţe</t>
  </si>
  <si>
    <t>Sume aferente Fondului Frontierelor Externe</t>
  </si>
  <si>
    <t>Programe finanţate în cadrul facilităţii Schengen</t>
  </si>
  <si>
    <t>Programele finanţate din Facilitatea de Tranziţie</t>
  </si>
  <si>
    <t>Alte programe comunitare finanţate în perioada 2007-2013</t>
  </si>
  <si>
    <t>Alte facilităţi şi instrumente postaderare 2007-2013</t>
  </si>
  <si>
    <t>Mecanismul financiar SEE</t>
  </si>
  <si>
    <t>Mecanismul financiar norvegian</t>
  </si>
  <si>
    <t>Asistenţă tehnică în cadrul Programului Operaţional Asistenţă Tehnică 2007-2013</t>
  </si>
  <si>
    <t>Asistenţă tehnică în cadrul programelor operaţionale, altele decât Programul Operaţional Asistenţă Tehnică 2007-2013</t>
  </si>
  <si>
    <t>Programul de cooperare elveţiano-român vizând reducerea disparităţilor economice şi sociale în cadrul Uniunii Europene extinse</t>
  </si>
  <si>
    <t>Fondul European de Ajustare la Globalizare</t>
  </si>
  <si>
    <t>Asistenţă tehnică pentru mecanismele financiare SEE</t>
  </si>
  <si>
    <t>Fondul naţional pentru relaţii bilaterale aferent mecanismelor financiare SEE</t>
  </si>
  <si>
    <t>Sume aferente Fondului de Solidaritate al Uniunii Europene</t>
  </si>
  <si>
    <t>Fondul de ajutor european destinat celor mai defavorizate persoane aferente cadrului financiar 2014-2020</t>
  </si>
  <si>
    <t>Fondul pentru azil, migraţie şi integrare (FAMI) aferente cadrului financiar 2014-2020</t>
  </si>
  <si>
    <t>21.6</t>
  </si>
  <si>
    <t>Fondul pentru securitate internă (FSI) aferente cadrului financiar 2014-2020</t>
  </si>
  <si>
    <t>21.7</t>
  </si>
  <si>
    <t>Asistenţă tehnică pentru fondurile în domeniul afacerilor interne aferente cadrului financiar 2014-2020</t>
  </si>
  <si>
    <t>21.8</t>
  </si>
  <si>
    <t>Programe din Fondul European de Dezvoltare Regională (FEDR) aferente cadrului financiar 2014-2020</t>
  </si>
  <si>
    <t>21.9</t>
  </si>
  <si>
    <t>Programe din Fondul Social European (FSE) aferente cadrului financiar 2014-2020</t>
  </si>
  <si>
    <t>Programe din Fondul de Coeziune (FC) aferente cadrului financiar 2014-2020</t>
  </si>
  <si>
    <t xml:space="preserve">Programe din Fondul European Agricol de Dezvoltare Rurală (FEADR) aferente cadrului financiar 2014-2020 </t>
  </si>
  <si>
    <t>Programul din Fondul European pentru Pescuit și Afaceri Maritime (FEPAM) aferente cadrului financiar 2014-2020</t>
  </si>
  <si>
    <t>Programe Instrumentul de Asistență pentru Preaderare (IPA II) aferente cadrului financiar 2014-2020</t>
  </si>
  <si>
    <t>Programe Instrumentul European de Vecinătate (ENI) aferente cadrului financiar 2014-2020</t>
  </si>
  <si>
    <t>Fondul European de Garantare Agricolă (FEGA) aferente cadrului financiar 2014-2020</t>
  </si>
  <si>
    <t>Asistență tehnică în cadrul Programului Operațional Asistență Tehnică  aferente cadrului financiar 2014-2020</t>
  </si>
  <si>
    <t>Asistență tehnică în cadrul programelor operaționale, altele decât Programul Operațional Asistență Tehnică aferente cadrului financiar 2014-2020</t>
  </si>
  <si>
    <t>Alte programe comunitare finanțate în perioada 2014-2020</t>
  </si>
  <si>
    <t>Alte facilități și instrumente postaderare 2014-2020</t>
  </si>
  <si>
    <t>Mecanismul pentru Interconectarea Europei</t>
  </si>
  <si>
    <t xml:space="preserve">Mecanismele financiare Spațiul Economic European și Norvegian 2014-2021 </t>
  </si>
  <si>
    <t xml:space="preserve">Fondul pentru relații bilaterale aferent Mecanismelor financiare Spațiul Economic European și Norvegian 2014-2021 </t>
  </si>
  <si>
    <t xml:space="preserve">Asistență tehnică aferentă Mecanismelor financiare Spațiul Economic European și Norvegian 2014-2021 </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</si>
  <si>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</si>
  <si>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r>
      <t xml:space="preserve">Finantări, subvenţii, transferuri                                                </t>
    </r>
    <r>
      <rPr>
        <sz val="11"/>
        <rFont val="Arial"/>
        <family val="2"/>
      </rPr>
      <t>(ct.7510500+7710000+7720100+7720200+7740100+ 7740200+7750000+7760000+7780000+7790101+7790109)</t>
    </r>
  </si>
  <si>
    <r>
      <t xml:space="preserve">Alte cheltuieli operaţionale        </t>
    </r>
    <r>
      <rPr>
        <sz val="11"/>
        <rFont val="Arial"/>
        <family val="2"/>
      </rPr>
      <t>(ct.6350100+6540000+6580101+6580109)</t>
    </r>
  </si>
  <si>
    <t>ct 6450700 Cheltuieli cu contribuția asiguratorie pentru munca</t>
  </si>
  <si>
    <t>BUGET IMPRUMUTURI INTERNE SI EXTERNE ct 5130101+5140101+5160101+5170101/7700000</t>
  </si>
  <si>
    <t>BUGET FONDURI EXTERNE NERAMBURSABILE (SURSA D) CT 5150103/7700000</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</si>
  <si>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color indexed="8"/>
        <rFont val="Arial"/>
        <family val="2"/>
        <charset val="238"/>
      </rPr>
      <t>6450700</t>
    </r>
    <r>
      <rPr>
        <sz val="11"/>
        <color indexed="8"/>
        <rFont val="Arial"/>
        <family val="2"/>
      </rPr>
      <t>+</t>
    </r>
    <r>
      <rPr>
        <sz val="11"/>
        <rFont val="Arial"/>
        <family val="2"/>
      </rPr>
      <t xml:space="preserve"> 6450800+6460000+6470000)</t>
    </r>
  </si>
  <si>
    <t>Execedentele cumulate nete ale bugetelor din sistemul de asigurări (ct.5250301+ct.5250302+ct.5600300+ +ct.5610300+ ct.5710300+ct.5740301+ct.5740302)</t>
  </si>
  <si>
    <t xml:space="preserve">Datoriile  institutiilor publice către bugete                                                  ( + ct.4310100+ct.4310200+ct.4310300+ct.4310400+ ct.4310500+ct. 4310600+ ct.4310700+ct. 4370100+ct.4370200+ct.4370300+ ct.4420300+ ct.4420801 + ct.4440000+ct. 4460100+ct. 4460200+ct.4480100)                               </t>
  </si>
  <si>
    <t>Alte programe comunitare finantate in perioada 2014-2020 (58.15)</t>
  </si>
  <si>
    <t>Alte facilitati si instrumente postaderare (58.16)</t>
  </si>
  <si>
    <t xml:space="preserve">Programe din Fondul European de Dezvoltare Regională (FEDR) (58.01) </t>
  </si>
  <si>
    <t>Programe din Fondul Social European (FSE) (58.02)</t>
  </si>
  <si>
    <t>Programe din Fondul de Coeziune (FC) (58.03)</t>
  </si>
  <si>
    <t>Programe din Fondul European Agricol de Dezvoltare Rurală (FEADR) (58.04)</t>
  </si>
  <si>
    <t>Programul din Fondul European pentru Pescuit și Afaceri Maritime (FEPAM) (58.05)</t>
  </si>
  <si>
    <t>Programe Instrumentul de Asistență pentru Preaderare (IPA II) (58.11)</t>
  </si>
  <si>
    <t>Programe Instrumentul European de Vecinătate (ENI) (58.12)</t>
  </si>
  <si>
    <t>Fondul European de Garantare Agricolă (FEGA) (58.13)</t>
  </si>
  <si>
    <t xml:space="preserve">Asistență tehnică în cadrul Programului Operațional Asistență Tehnică  (58.14) </t>
  </si>
  <si>
    <t>39.1</t>
  </si>
  <si>
    <t xml:space="preserve">Asistență tehnică în cadrul programelor operaționale, altele decât Programul Operațional Asistență Tehnică (58.17) </t>
  </si>
  <si>
    <t>39.2</t>
  </si>
  <si>
    <t>Mecanismul pentru Interconectarea Europei (58.30)</t>
  </si>
  <si>
    <t>39.3</t>
  </si>
  <si>
    <t>Mecanismele financiare Spațiul Economic European și Norvegian 2014-2021  (58.31)</t>
  </si>
  <si>
    <t>39.4</t>
  </si>
  <si>
    <t>Fondul pentru relații bilaterale aferent Mecanismelor financiare Spațiul Economic European și Norvegian 2014-2021 (58.32)</t>
  </si>
  <si>
    <t>39.5</t>
  </si>
  <si>
    <t>Asistență tehnică aferentă Mecanismelor financiare Spațiul Economic European și Norvegian 2014-2021 (58.33)</t>
  </si>
  <si>
    <t>39.6</t>
  </si>
  <si>
    <t>3=2-5</t>
  </si>
  <si>
    <t>5=6+8+10+12+15</t>
  </si>
  <si>
    <t>Sume în curs de solicitare la rambursare în anul curent aferente cheltuielilor efectuate în anii anteriori</t>
  </si>
  <si>
    <t xml:space="preserve">Sume solicitate la rambursare în anul curent  aferente cheltuielilor efectuate în  anii anteriori aflate în curs de autorizare </t>
  </si>
  <si>
    <t>Sume rambursate în anul curent  aferente cheltuielilor efectuate în anii anteriori</t>
  </si>
  <si>
    <t>Sume neautorizate de autorităţile de management aferente cheltuielilor efectuate în anii anteriori</t>
  </si>
  <si>
    <t>Prefinanţare dedusă din sumele solicitate la rambursare aferente chetuielilor efectuate în anii anteriori</t>
  </si>
  <si>
    <t>TITLUL X PROIECTE CU FINANTARE DIN FONDURI EXTERNE NERAMBURSABILE AFERENTE CADRULUI FINANCIAR 2014-2020</t>
  </si>
  <si>
    <t>Alte institutii si actiuni sanitare</t>
  </si>
  <si>
    <t>660801</t>
  </si>
  <si>
    <t>660858</t>
  </si>
  <si>
    <t xml:space="preserve">Alte programe comunitare finantate in perioada 2014-2020 </t>
  </si>
  <si>
    <t>Alte chelutuieli in domeniul sanatatii</t>
  </si>
  <si>
    <t>5815</t>
  </si>
  <si>
    <t>58</t>
  </si>
  <si>
    <t>581501</t>
  </si>
  <si>
    <t>581502</t>
  </si>
  <si>
    <t>581503</t>
  </si>
  <si>
    <t>660815</t>
  </si>
  <si>
    <t>66081502</t>
  </si>
  <si>
    <t>660850</t>
  </si>
  <si>
    <t>66085050</t>
  </si>
  <si>
    <r>
      <t xml:space="preserve">Datorii către bugete                                                                                </t>
    </r>
    <r>
      <rPr>
        <sz val="11"/>
        <rFont val="Arial"/>
        <family val="2"/>
      </rPr>
      <t>(ct. 4310100+4310200 + 4310300 + 4310400 + 4310500+4310600+ 4310700+ 4370100 + 4370200 + 4370300 + 4400000+4410000+ 4420300 + 4420801+ 4440000+ +4460100+4460200+ 4480100 +4550501+ 4550502+ 4550503+ 4620109+4670100+ 4670200+ 4670300+ 4670400+ 4670500+ 4670900+ 4730109+4810900), din care:</t>
    </r>
  </si>
  <si>
    <t>Amortizare mijloace de transport</t>
  </si>
  <si>
    <t>Amortizare aparate si instalatii de masurare</t>
  </si>
  <si>
    <t xml:space="preserve">Anexa nr.20 a </t>
  </si>
  <si>
    <t xml:space="preserve">Situaţia sumelor primite direct de la Comisia Europeană/alţi donatori şi a plăţilor din FEN postaderare  </t>
  </si>
  <si>
    <t xml:space="preserve">     cod 32</t>
  </si>
  <si>
    <t xml:space="preserve">Sold la înce putul  anului  </t>
  </si>
  <si>
    <t>Încasări FEN     (inclusiv top up)</t>
  </si>
  <si>
    <t xml:space="preserve">Încasări din conturi de debite FEN ani precedenţi  </t>
  </si>
  <si>
    <t>Autorităţi de manage ment/ Agenţii de plăţi/ etc.</t>
  </si>
  <si>
    <t xml:space="preserve">Conturi venituri din privatizare şi Conturi pt. Indisponibilităţi temporare de fonduri </t>
  </si>
  <si>
    <t xml:space="preserve">Buget de stat*     (inclusiv top up)    </t>
  </si>
  <si>
    <t xml:space="preserve">Instituţii finanţate integral din venituri proprii/ venituri proprii şi subvenţii* </t>
  </si>
  <si>
    <t>Alţi benef          ( fermieri, ONG,soc.  com. etc.)</t>
  </si>
  <si>
    <t>Comisia Europeană/alţi donatori</t>
  </si>
  <si>
    <t>5=(6+..+15)</t>
  </si>
  <si>
    <t>17=(1+2+3+4-5+16)</t>
  </si>
  <si>
    <t>Programe din Fondul European de Dezvoltare Regională (FEDR)  aferente cadrului financiar 2014-2020</t>
  </si>
  <si>
    <t>Alte programe comunitare finanţate în perioada 2014-2020</t>
  </si>
  <si>
    <t xml:space="preserve">Mecanismele financiare Spațiul Economic European și Norvegian 2014-2021  </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</si>
  <si>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</si>
  <si>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t>Contribuții facultative ale asiguraților</t>
  </si>
  <si>
    <t>21.05</t>
  </si>
  <si>
    <t>21.27</t>
  </si>
  <si>
    <t>Contribuția de asigurări sociale de sănătate datorată de persoanele fizice care realizează venituri în baza contractelor de activitate sportivă</t>
  </si>
  <si>
    <t>21.29</t>
  </si>
  <si>
    <t>427400</t>
  </si>
  <si>
    <t>Ajustări pentru deprecierea creanţelor - debitori peste un an</t>
  </si>
  <si>
    <t>Ajustări pentru deprecierea creanţelor - debitori sub un an</t>
  </si>
  <si>
    <t>Venituri ale bugetului FNUASS încasate în contul unic, în curs de distribuire</t>
  </si>
  <si>
    <t>47.05.00</t>
  </si>
  <si>
    <t>Total,  din care:</t>
  </si>
  <si>
    <t>Diminuare de sold ca urmare a neconfirmării cazurilor</t>
  </si>
  <si>
    <t>Sume recuperate de la unitățile sanitare în perioada de raportare</t>
  </si>
  <si>
    <t>Servicii medicale  decontate în perioada de raportare</t>
  </si>
  <si>
    <t>An</t>
  </si>
  <si>
    <t xml:space="preserve">Situaţie cont 461 "Debitori" din servicii medicale acordate pacienţilor </t>
  </si>
  <si>
    <t>Valoarea cererilor de restituire depuse de angajatori în perioada de raportare</t>
  </si>
  <si>
    <t>ajutoare sociale în numerar</t>
  </si>
  <si>
    <t>21.49</t>
  </si>
  <si>
    <t>Contribuția de asigurări sociale de sănătate aferente declarației unice</t>
  </si>
  <si>
    <t>Alte sporuri</t>
  </si>
  <si>
    <t>10.01.06</t>
  </si>
  <si>
    <t>6605.10.01.06</t>
  </si>
  <si>
    <t>Sume in curs de decontare la trezorerii</t>
  </si>
  <si>
    <t xml:space="preserve">       Programul national  de diabet zaharat-pompe insulina si materiale consumabile,  sisteme pompa de insulina cu senzori de monitorizare continua a glicemiei si sisteme monitorizare continua a glicemiei</t>
  </si>
  <si>
    <t>8=6-7</t>
  </si>
  <si>
    <t>Cheltuieli salariale in bani                          ( cod 10.01.01 la 10.01.30)</t>
  </si>
  <si>
    <t>6=6.1+6.2</t>
  </si>
  <si>
    <t>6.1</t>
  </si>
  <si>
    <t>6.2</t>
  </si>
  <si>
    <t>ASISTENTA MEDICALA IN CENTRE MEDICALE MULTIFUNCTIONALE</t>
  </si>
  <si>
    <t>UNITĂȚI DE RECUPERARE REABILITARE A SANATATII</t>
  </si>
  <si>
    <t>Numar persoane  beneficiare</t>
  </si>
  <si>
    <t>PRESTAȚII MEDICALE ACORDATE IN BAZA DOCUMENTELOR INTERNATIONALE</t>
  </si>
  <si>
    <t>Numar persoane beneficiare</t>
  </si>
  <si>
    <t>Servicii medicale acordate in cadrul programelor nationale de sanatate curative</t>
  </si>
  <si>
    <t>Costmediu pe bolnav (lei)</t>
  </si>
  <si>
    <t xml:space="preserve"> - Subprogramul de diagnostic genetic al tumorilor solide maligne (sarcom Ewing şi neuroblastom) la copii şi adulţi</t>
  </si>
  <si>
    <t xml:space="preserve"> Programul national  de diabet zaharat, din care:</t>
  </si>
  <si>
    <t xml:space="preserve"> -   Diabet medicamente</t>
  </si>
  <si>
    <t xml:space="preserve"> -   Pompe insulina</t>
  </si>
  <si>
    <t>FONDURI EXTERNE NERAMBURSABILE</t>
  </si>
  <si>
    <t>5008</t>
  </si>
  <si>
    <t>5008.01</t>
  </si>
  <si>
    <t xml:space="preserve">TITLUL X PROIECTE CU FINANTARE DIN FONDURI EXTERNE NERAMBURSABILE AFERENTE CADRULUI FINANCIAR 2014 - 2020 </t>
  </si>
  <si>
    <t>5008.58</t>
  </si>
  <si>
    <t>66.08</t>
  </si>
  <si>
    <t>66.08.01</t>
  </si>
  <si>
    <t>66.08.58</t>
  </si>
  <si>
    <t>Alte cheltuieli in domeniul sanatatii</t>
  </si>
  <si>
    <t>66.08.50</t>
  </si>
  <si>
    <t>66.08.50.50</t>
  </si>
  <si>
    <t>Medicamente cu si fara contributie personala - cost volum rezultat</t>
  </si>
  <si>
    <t xml:space="preserve">Medicamente cu si fara contributie personala - cost volum </t>
  </si>
  <si>
    <t>Medicamente pentru boli cronice cu risc crescut utilizate in programele nationale cu scop curativ - cost volum</t>
  </si>
  <si>
    <t>SUME INREGISTRATE IN CONTUL 8082 REPREZENTÂND DEPĂŞIREA</t>
  </si>
  <si>
    <t>Amortizarea programelor informatice</t>
  </si>
  <si>
    <t>Ajustari pentru deprecierea programelor informatice</t>
  </si>
  <si>
    <t>6605.10.01.17</t>
  </si>
  <si>
    <t>Indemnizații de hrană</t>
  </si>
  <si>
    <t>6605.20.25</t>
  </si>
  <si>
    <t>Cheltuieli judiciare si extrajudiciare derivate din actiuni in reprezentarea intereselor statului, potrivit dispozitiilor legale</t>
  </si>
  <si>
    <t>Drepturi de delegare</t>
  </si>
  <si>
    <t>10.01.17</t>
  </si>
  <si>
    <t>20.25</t>
  </si>
  <si>
    <t xml:space="preserve">Drepturi de delegare </t>
  </si>
  <si>
    <t xml:space="preserve"> 10.01.17</t>
  </si>
  <si>
    <t>DIRECTOR EXECUTIV ECONOMIC,</t>
  </si>
  <si>
    <r>
      <t xml:space="preserve">Active fixe necorporale </t>
    </r>
    <r>
      <rPr>
        <sz val="12"/>
        <rFont val="Times New Roman"/>
        <family val="1"/>
        <charset val="238"/>
      </rPr>
      <t>(ct.2030000+2050000+2060000+2080100+2080200+ 2330000 -2800300-2800500-2800801-2800809-2900400-2900500-2900801-2900809-2930100*)</t>
    </r>
  </si>
  <si>
    <r>
      <t xml:space="preserve"> S</t>
    </r>
    <r>
      <rPr>
        <b/>
        <sz val="9"/>
        <rFont val="Arial"/>
        <family val="2"/>
        <charset val="238"/>
      </rPr>
      <t xml:space="preserve">ectoarele şi subsectoarele definite conform         </t>
    </r>
    <r>
      <rPr>
        <sz val="9"/>
        <rFont val="Arial"/>
        <family val="2"/>
        <charset val="238"/>
      </rPr>
      <t xml:space="preserve">    </t>
    </r>
  </si>
  <si>
    <t>TOTAL PROVIZIOANE CONSTITUITE</t>
  </si>
  <si>
    <t>DIN CARE:</t>
  </si>
  <si>
    <r>
      <t xml:space="preserve">Provizioane  pentru daune-interese moratorii sub forma </t>
    </r>
    <r>
      <rPr>
        <b/>
        <sz val="10"/>
        <rFont val="Arial"/>
        <family val="2"/>
        <charset val="238"/>
      </rPr>
      <t xml:space="preserve">dobânzii legale, </t>
    </r>
    <r>
      <rPr>
        <sz val="10"/>
        <rFont val="Arial"/>
        <family val="2"/>
        <charset val="238"/>
      </rPr>
      <t xml:space="preserve">pentru plata eșalonată a sumelor prevăzute în titluri executorii având ca obiect acordarea unor drepturi salariale personalului din sectorul bugetar </t>
    </r>
  </si>
  <si>
    <r>
      <t xml:space="preserve">Provizioane constituite conform O.M.F.P. 416/2013 reprezentând </t>
    </r>
    <r>
      <rPr>
        <b/>
        <sz val="10"/>
        <rFont val="Arial"/>
        <family val="2"/>
        <charset val="238"/>
      </rPr>
      <t>arierate în litigiu</t>
    </r>
    <r>
      <rPr>
        <sz val="10"/>
        <rFont val="Arial"/>
        <family val="2"/>
        <charset val="238"/>
      </rPr>
      <t xml:space="preserve"> </t>
    </r>
  </si>
  <si>
    <t>Total, din care:</t>
  </si>
  <si>
    <t>din anii precedenti</t>
  </si>
  <si>
    <t>Programe din Fondul Social European (FSE)</t>
  </si>
  <si>
    <t>6605.58.02</t>
  </si>
  <si>
    <t>6605.58.02.01</t>
  </si>
  <si>
    <t>6605.58.02.02</t>
  </si>
  <si>
    <r>
      <t xml:space="preserve">Instalaţii tehnice, mijloace de transport, animale, plantaţii, mobilier, aparatură birotică şi alte active corporale </t>
    </r>
    <r>
      <rPr>
        <sz val="12"/>
        <rFont val="Times New Roman"/>
        <family val="1"/>
        <charset val="238"/>
      </rPr>
      <t xml:space="preserve"> (ct.2130100+2130200+2130300+2130400+2140000+           2310000-2810301-2810302-2810303-2810304-2810400-2910301-2910302-2910303-2910304-2910400-2930200*)</t>
    </r>
  </si>
  <si>
    <r>
      <t xml:space="preserve">Stocuri               </t>
    </r>
    <r>
      <rPr>
        <sz val="11"/>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-3920300 -3930000-3940100-3940500-3940600-3950100-3950200-3950300-3950400-3950600-3950700-3950800-3960000-3970100-3970200-3970300-3980000-4420803)</t>
    </r>
  </si>
  <si>
    <t>Notă:</t>
  </si>
  <si>
    <t xml:space="preserve"> * Sumele înregistate în contul 6290200 se completează în coloana 1"An precedent"</t>
  </si>
  <si>
    <t xml:space="preserve"> - sume recuperate din excedentul anului precedent </t>
  </si>
  <si>
    <t xml:space="preserve"> - sume utilizate din excedentul anului precedent /sume transferate din excedent pentru constituirea de depozite în trezorerie </t>
  </si>
  <si>
    <t xml:space="preserve">Sume transferate din disponibilul neutilizat la finele anului precedent </t>
  </si>
  <si>
    <t>Decontari privind operatiunile financiare -activitatea operațională</t>
  </si>
  <si>
    <t>internați în cazuri de agresiuni și vătămare corporală din accidente rutiere</t>
  </si>
  <si>
    <t>Asistenta medicala in centrele medicale multifunctionale, din care:</t>
  </si>
  <si>
    <t>Existent  la 31.12.2019</t>
  </si>
  <si>
    <t xml:space="preserve">  -  Programul national de tratament al bolilor neurologice</t>
  </si>
  <si>
    <t>ct 7500200  Alte venituri din proprietate</t>
  </si>
  <si>
    <r>
      <t xml:space="preserve">Stocuri, consumabile, lucrări şi servicii executate de terţi </t>
    </r>
    <r>
      <rPr>
        <sz val="11"/>
        <rFont val="Arial"/>
        <family val="2"/>
      </rPr>
      <t>(ct.6010000+6020100+6020200+6020300+6020400+6020500+ 6020600+6020700+6020800+6020900+6030000+ 6060000+6070000+6080000+6090000+6100000+ 6110000+6120000+6130000+6140000+6220000+6230000+6240100+6240200+6260000+6270000+6280000+6290100)</t>
    </r>
  </si>
  <si>
    <t>CHELTUIELI PENTRU PROIECTE CU FINANTARE DIN FONDURI EXTERNE NERAMBURSABILE (FEN) POSTADERARE</t>
  </si>
  <si>
    <t>Valoarea cererilor clarificate  în perioada de raportare</t>
  </si>
  <si>
    <t>III. OPERAȚIUNI FINANCIARE                                                                                  Incasări din rambursarea împrumuturilor acordate</t>
  </si>
  <si>
    <t>Sume utilizate din excedentul anului precedent pentru efectuarea de cheltuieli</t>
  </si>
  <si>
    <t>4008.15</t>
  </si>
  <si>
    <t>Sume utilizate de alte instituţii din excedentul anului precedent</t>
  </si>
  <si>
    <t>4008.15.03</t>
  </si>
  <si>
    <t>48.02</t>
  </si>
  <si>
    <t>48.02.01</t>
  </si>
  <si>
    <t>48.02.02</t>
  </si>
  <si>
    <r>
      <t>Spitale generale</t>
    </r>
    <r>
      <rPr>
        <b/>
        <sz val="10"/>
        <color theme="0"/>
        <rFont val="Arial"/>
        <family val="2"/>
        <charset val="238"/>
      </rPr>
      <t>, din care:</t>
    </r>
  </si>
  <si>
    <r>
      <t>Asistenta medicala pentru specialitati paraclinice</t>
    </r>
    <r>
      <rPr>
        <b/>
        <sz val="10"/>
        <color theme="0"/>
        <rFont val="Arial"/>
        <family val="2"/>
        <charset val="238"/>
      </rPr>
      <t>, din care:</t>
    </r>
  </si>
  <si>
    <t xml:space="preserve"> - sume recuperate/primite  în excedentul anului precedent </t>
  </si>
  <si>
    <t xml:space="preserve"> - sume utilizate /transferate din excedentul anului precedent</t>
  </si>
  <si>
    <r>
      <t xml:space="preserve">Conturi de disponibilităţi ale Trezoreriei Centrale şi ale trezoreriilor teritoriale </t>
    </r>
    <r>
      <rPr>
        <sz val="11"/>
        <rFont val="Arial"/>
        <family val="2"/>
      </rPr>
      <t xml:space="preserve">(ct.+5120601+5120602+5120700+5120901+5120902+                 5121000+5121100+5240100+5240300+                      5550101+5550102+ 5550103-7700000) </t>
    </r>
  </si>
  <si>
    <r>
      <t>Datorii comerciale,  avansuri şi alte decontări</t>
    </r>
    <r>
      <rPr>
        <sz val="11"/>
        <rFont val="Arial"/>
        <family val="2"/>
      </rPr>
      <t xml:space="preserve">  (ct.2690100+4010100+4030100+4040100+4050100+ 4080000+ 4190000+ 4620101+4620109 +4730109+ 4810101+4810102+ 4810103+ 4810900+ 4830000+4840000+ 4890201+ 5090000+ 5120800),  din care:</t>
    </r>
  </si>
  <si>
    <r>
      <t xml:space="preserve">Venituri din impozite, taxe, contribuţii de asigurări şi alte venituri ale bugetelor </t>
    </r>
    <r>
      <rPr>
        <sz val="11"/>
        <rFont val="Arial"/>
        <family val="2"/>
      </rPr>
      <t>(ct.7300100+7300200+7300201+7300202+7300203+7310100+7310200+7320100+ 7330000+ 7340000+ 7350100+7350200+7350300+7350400+ 7350500+ 7350600+7350601+7350602+7360100+7390000+7450100+7450200+ 7450300+ 7450400+ 7450500+</t>
    </r>
    <r>
      <rPr>
        <sz val="11"/>
        <color indexed="8"/>
        <rFont val="Arial"/>
        <family val="2"/>
        <charset val="238"/>
      </rPr>
      <t>7450700</t>
    </r>
    <r>
      <rPr>
        <sz val="11"/>
        <rFont val="Arial"/>
        <family val="2"/>
      </rPr>
      <t>+7450900+ 7460100+ 7460200+ 7460300+ 7460900)</t>
    </r>
  </si>
  <si>
    <r>
      <t xml:space="preserve">Alte venituri operaţionale </t>
    </r>
    <r>
      <rPr>
        <sz val="11"/>
        <rFont val="Arial"/>
        <family val="2"/>
      </rPr>
      <t>(ct.7140000+7180000+7500000+7500100+7500200+7510300+7510400+7810200+7810300 +7810401+7810402+7770000)</t>
    </r>
  </si>
  <si>
    <r>
      <t xml:space="preserve">Cheltuieli de capital, amortizări şi provizioane </t>
    </r>
    <r>
      <rPr>
        <sz val="11"/>
        <rFont val="Arial"/>
        <family val="2"/>
      </rPr>
      <t>(ct. 6810100+6810200+6810300+6810401+6810402+6820101+ 6820109+6820200+ 6890100+ 6890200)</t>
    </r>
  </si>
  <si>
    <t>Cheltuieli cu impozitul pe profit (din ct. 6350200)</t>
  </si>
  <si>
    <t>– Fondul Naţional de Dezvoltare Regională (ct 5150101,ct. 5150102, ct 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</si>
  <si>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</si>
  <si>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</si>
  <si>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</si>
  <si>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Acţiuni şi alte titluri, exclusiv acţiuni ale organismelor de plasament colectiv</t>
  </si>
  <si>
    <t xml:space="preserve">   -de la gospodăriile  populaţiei</t>
  </si>
  <si>
    <t xml:space="preserve"> - salariaţilor  ( gospodăriile populației)(S143)</t>
  </si>
  <si>
    <r>
      <t>Credite pe t</t>
    </r>
    <r>
      <rPr>
        <b/>
        <sz val="11"/>
        <color indexed="8"/>
        <rFont val="Arial"/>
        <family val="2"/>
        <charset val="238"/>
      </rPr>
      <t>ermen scurt</t>
    </r>
    <r>
      <rPr>
        <sz val="11"/>
        <color indexed="8"/>
        <rFont val="Arial"/>
        <family val="2"/>
        <charset val="238"/>
      </rPr>
      <t xml:space="preserve"> primite (contractate, garantate, asimilate, etc.)  autorităţile din sistemul de asigurări  (ct.1640100+ct.1650100+ct.1670101+ct.1670102+ct.1670103+ ct.1670109+ct.5190101+ct.5190102+ ct.5190180).                                                                                           Total (rd.263+264+265 ), din care acordate de:</t>
    </r>
  </si>
  <si>
    <r>
      <t xml:space="preserve">Credite pe </t>
    </r>
    <r>
      <rPr>
        <b/>
        <sz val="11"/>
        <color indexed="8"/>
        <rFont val="Arial"/>
        <family val="2"/>
        <charset val="238"/>
      </rPr>
      <t>termen scurt</t>
    </r>
    <r>
      <rPr>
        <sz val="11"/>
        <color indexed="8"/>
        <rFont val="Arial"/>
        <family val="2"/>
        <charset val="238"/>
      </rPr>
      <t xml:space="preserve"> primite din contul curent general al trezoreriei statului de către instituţiile publice de administraţia de  asigurări / Sume primite din excedentul anului precedent pentru acoperirea golurilor temporare de casă și pentru finanțarea cheltuielilor (ct.1660101+ct.1660103+ct.1660104+ct.5190108+5190190) (S1311)</t>
    </r>
  </si>
  <si>
    <t>Credite pe termen scurt primite rezultate  din reclasificarea creditelor comerciale în împrumuturi (Maastricht debt) conform deciziei Eurostat/metodologiei UE</t>
  </si>
  <si>
    <r>
      <t>Credite pe termen scurt provenind din reclasificarea creditelor comerciale în împrumuturi (Maastricht debt), conform deciziei Eurostat / metodologiei UE(ct.1670108+ct.5190110)  Total (rd.278+279+280+281),  din care acordate</t>
    </r>
    <r>
      <rPr>
        <b/>
        <i/>
        <sz val="11"/>
        <color indexed="8"/>
        <rFont val="Arial"/>
        <family val="2"/>
        <charset val="238"/>
      </rPr>
      <t xml:space="preserve"> </t>
    </r>
    <r>
      <rPr>
        <sz val="11"/>
        <color indexed="8"/>
        <rFont val="Arial"/>
        <family val="2"/>
        <charset val="238"/>
      </rPr>
      <t xml:space="preserve">de: </t>
    </r>
  </si>
  <si>
    <t>Dobânzi de plătit aferente creditelor pe termen scurt  provenind din reclasificarea creditelor comerciale în împrumuturi (Maastricht debt), conform deciziei Eurostat /metodologiei UE (ct.1680708+5180609+5180800). Total (rd.283+284+284.1+284.2) din care acordate de:</t>
  </si>
  <si>
    <t>Credite pe termen lung primite rezultate  din reclasificarea creditelor comerciale în împrumuturi (Maastricht debt) conform deciziei Eurostat/ metodologiei UE</t>
  </si>
  <si>
    <t xml:space="preserve">Credite pe termen lung provenind  din reclasificarea creditelor comerciale în împrumuturi (Maastricht debt), conform deciziei Eurostat/ metodologiei UE(ct.1670208). Total (rd.301+302+303+304)  din care acordate de: </t>
  </si>
  <si>
    <t>Dobânzi de plătit aferente creditelor pe termen lung provenind din reclasificarea creditelor comerciale în împrumuturi (Maastricht debt), conform deciziei Eurostat/ metodologiei UE  (ct.1680708).                                                     Total (rd.306+307+308+309), din care acordate de:</t>
  </si>
  <si>
    <t>Datorii din operaţiuni cu fonduri externe nerambursabile de la Comisia Europeană / alți donatori</t>
  </si>
  <si>
    <t xml:space="preserve">Provizioane curente  reprezentând drepturi de natură  salarială stabilite în favoarea personalului din sectorul bugetar prin titluri devenite executorii   (ct.1510103). </t>
  </si>
  <si>
    <t xml:space="preserve">Provizioane necurente  reprezentând drepturi de natură  salarială stabilite în favoarea personalului din sectorul bugetar prin titluri devenite executorii   (ct.1510203). </t>
  </si>
  <si>
    <t>Plati restante  ale instituţiilor publice din administraţia de asigurări - plăţi restante (reprezentând datorii neachitate la termen )  din operaţiuni comerciale                                                                             Total (rd.337+338+342+343) din care, către:</t>
  </si>
  <si>
    <t xml:space="preserve">Plăţi restante  ale instituţiilor publice din administraţia de asigurări (reprezentând datorii neachitate la termen ) către  bugetul general consolidat                 </t>
  </si>
  <si>
    <t xml:space="preserve">Plati restante ale instituţiilor publice din administraţia de asigurări  plăţi restante (reprezentând datorii neachitate la termen ) din  drepturi salariale  neachitate  </t>
  </si>
  <si>
    <t xml:space="preserve">Plati restante ale instituţiilor publice din administraţia  de asigurări plăţi restante către alte categorii de persoane.  (reprezentând datorii neachitate la termen) din ajutoare şi alte drepturi neachitate      </t>
  </si>
  <si>
    <t>Plati restante  ale instituţiilor publice din administraţia  de asigurări - plăţi restante (reprezentând datorii neachitate la termen ) din imprumuturi nerambursate la scadenţă:                                                                                                               Total (rd.348+349+350) din care:</t>
  </si>
  <si>
    <t>Plati restante  ale instituţiilor publice din administraţia  de asigurări - plăţi restante (reprezentând datorii neachitate la termen ) din dobânzi restante,    din care :</t>
  </si>
  <si>
    <t xml:space="preserve">Provizioane  reprezentând drepturi de natură salarială stabilite în favoarea personalului din sectorul bugetar prin titluri devenite executorii                       </t>
  </si>
  <si>
    <t>Sume in curs de decontare la institutii de credit</t>
  </si>
  <si>
    <t>6605.51.01.75</t>
  </si>
  <si>
    <t>Transferuri pentru stimulentul de risc</t>
  </si>
  <si>
    <t>6605.58.02.03</t>
  </si>
  <si>
    <t xml:space="preserve">SITUAŢIA FLUXURILOR DE TREZORERIE </t>
  </si>
  <si>
    <t xml:space="preserve">       ASIGURARILOR SOCIALE DE  SĂNĂTATE </t>
  </si>
  <si>
    <t xml:space="preserve"> "Proiecte cu finanţare din fonduri externe nerambursabile (FEN) postaderare"</t>
  </si>
  <si>
    <r>
      <t xml:space="preserve"> </t>
    </r>
    <r>
      <rPr>
        <b/>
        <sz val="11"/>
        <rFont val="Arial"/>
        <family val="2"/>
        <charset val="238"/>
      </rPr>
      <t>Creditori bugetar</t>
    </r>
    <r>
      <rPr>
        <sz val="11"/>
        <rFont val="Arial"/>
        <family val="2"/>
      </rPr>
      <t>i   ( ct. 4620109, ct.4670100, ct. 4670300, ct. 4670400, ct. 4670500, ct.4670900), din care:                                                    ( rd.47.1+47.2+47.3+47.4+47.5)</t>
    </r>
  </si>
  <si>
    <t xml:space="preserve">SITUATIA  AMORTIZARII  MIJLOACELOR  FIXE  </t>
  </si>
  <si>
    <t>SOLD LA SFÂRȘITUL PERIOADEI DE RAPORTARE</t>
  </si>
  <si>
    <t>Fondul naţional unic de asigurări sociale de sănătate</t>
  </si>
  <si>
    <t xml:space="preserve">SITUAŢIA VENITURILOR REALIZATE </t>
  </si>
  <si>
    <t xml:space="preserve">PROVIZIOANE CONSTITUITE </t>
  </si>
  <si>
    <t xml:space="preserve">SITUATIA DISPONIBILITATILOR IN CASIERIE ŞI LA TREZORERIE </t>
  </si>
  <si>
    <t xml:space="preserve">TAXA DE EVALUARE ÎNCASATĂ </t>
  </si>
  <si>
    <t xml:space="preserve">SITUATIA NUMARULUI DE CAZURI SI VALOAREA SERVICIILOR MEDICALE REALIZATE SI DECONTATE PENTRU PACIENTII CARE AU AVUT ACCIDENTE DE MUNCA SAU BOLI PROFESIONALE </t>
  </si>
  <si>
    <t xml:space="preserve">SITUATIA PRIVIND VALOAREA SERVICIILOR MEDICALE  DECONTATE DE CAS CATRE CNPP PENTRU   SERVICII MEDICALE REALIZATE IN SECTIILE DE MEDICINA  MUNCII IN SPITALE,  PENTRU CARE NU S-A CONFIRMAT CARACTERUL DE BOLI PROFESIONALE  </t>
  </si>
  <si>
    <t xml:space="preserve">SITUATIA NUMARULUI DE CAZURI SI VALOAREA SERVICIILOR MEDICALE EFECTUATE CU PRIVIRE LA PREJUDICIILE SI DAUNELE ADUSE SANATATII ALTEI PERSOANE, PRECUM SI DAUNELE ADUSE  SANATATII PROPRIEI PERSOANE </t>
  </si>
  <si>
    <t>Sold  la sfârșitul perioadei de raportare</t>
  </si>
  <si>
    <t>SITUAŢIA VENITURILOR REALIZATE   SURSA D</t>
  </si>
  <si>
    <t>Plăţi efectuate pentru                                                                                                                                                                                                                                                                                                                                                           cota-parte FEN
(alineat 02)</t>
  </si>
  <si>
    <t>Sume solicitate la rambursare
aferente cheltuielilor efectuate                                                                                                                                                                                                                                                                                                                                             în anul curent</t>
  </si>
  <si>
    <t>Total plăţi (titlul VIII  cod 56)      (rd. 3 la rd. 10)</t>
  </si>
  <si>
    <t>SURSA D</t>
  </si>
  <si>
    <t>Conturi de disponibilităţi                (cont 5XX)</t>
  </si>
  <si>
    <t>Alte împrumuturi acordate pe termen scurt</t>
  </si>
  <si>
    <t xml:space="preserve">     ~  sume cost volum , din care</t>
  </si>
  <si>
    <t xml:space="preserve">           - medicamente cost volum (fără medicamente pentru pensionri cu compensare 90% pe sublista B)</t>
  </si>
  <si>
    <t xml:space="preserve">           - medicamente  cost  volum  compensate  50%  pentru  pensionari cf HG nr 186/2009 privind aprobarea Programului pentru  compensarea  cu  90%  a  prețului de referință al medicamentelor, cu modificările și completările ulterioare</t>
  </si>
  <si>
    <t xml:space="preserve">           - medicamente  cost  volum  compensate  40%  pentru  pensionari cf HG nr 186/2009 privind aprobarea Programului pentru  compensarea  cu  90%  a  prețului de referință al medicamentelor, cu modificările și completările ulterioare</t>
  </si>
  <si>
    <t xml:space="preserve">  -  Programul national de tratament pentru boli rare (purpura trombocitopenica)</t>
  </si>
  <si>
    <t xml:space="preserve">CONTUL  DE  REZULTAT  PATRIMONIAL  </t>
  </si>
  <si>
    <r>
      <t xml:space="preserve">    ~  </t>
    </r>
    <r>
      <rPr>
        <b/>
        <sz val="10"/>
        <rFont val="Arial"/>
        <family val="2"/>
        <charset val="238"/>
      </rPr>
      <t>medicamente 40%</t>
    </r>
    <r>
      <rPr>
        <sz val="10"/>
        <rFont val="Arial"/>
        <family val="2"/>
        <charset val="238"/>
      </rPr>
      <t xml:space="preserve"> - conform HG nr.186/2009 privind aprobarea Programului pentru compensarea cu 90% a preţului de referinţă al medicamentelor, cu modificarile si completarile ulterioare</t>
    </r>
  </si>
  <si>
    <r>
      <t xml:space="preserve">    ~</t>
    </r>
    <r>
      <rPr>
        <b/>
        <sz val="10"/>
        <rFont val="Arial"/>
        <family val="2"/>
        <charset val="238"/>
      </rPr>
      <t xml:space="preserve"> personal contractual</t>
    </r>
  </si>
  <si>
    <r>
      <t xml:space="preserve">    ~ </t>
    </r>
    <r>
      <rPr>
        <b/>
        <sz val="10"/>
        <rFont val="Arial"/>
        <family val="2"/>
        <charset val="238"/>
      </rPr>
      <t xml:space="preserve">Cost volum </t>
    </r>
    <r>
      <rPr>
        <sz val="10"/>
        <rFont val="Arial"/>
        <family val="2"/>
        <charset val="238"/>
      </rPr>
      <t>- medicamente compensate 40% conform HG nr.186/2009 privind aprobarea Programului pentru compensarea cu 90% a preţului de referinţă al medicamentelor, cu modificarile si completarile ulterioare</t>
    </r>
  </si>
  <si>
    <t xml:space="preserve">    ~ servicii de monitorizare a starii de sanatate a pacienților în condițiile art 8, alin 3^1 - 3^3 din Legea nr 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</si>
  <si>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</si>
  <si>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</si>
  <si>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</si>
  <si>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</si>
  <si>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</si>
  <si>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</si>
  <si>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</si>
  <si>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</si>
  <si>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</si>
  <si>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</si>
  <si>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</si>
  <si>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 xml:space="preserve"> - medicamente</t>
  </si>
  <si>
    <t xml:space="preserve">  - materiale sanitare</t>
  </si>
  <si>
    <t xml:space="preserve">   - Subprogramul de radiologie interventionala , din care:</t>
  </si>
  <si>
    <t>Active fixe necorporale neamortizabile (ct.2030000, 2060000, 2080200)</t>
  </si>
  <si>
    <t xml:space="preserve">B        </t>
  </si>
  <si>
    <t>TITLUL III DOBANZI</t>
  </si>
  <si>
    <t>TITLUL VI TRANSFERURI INTRE UNITATI ALE ADMINISTRATIEI PUBLICE</t>
  </si>
  <si>
    <t xml:space="preserve">TITLUL XI ALTE CHELTUIELI </t>
  </si>
  <si>
    <t>TITLUL XII ACTIVE NEFINANCIARE</t>
  </si>
  <si>
    <t>Partea a III-a CHELTUIELI SOCIAL - CULTURALE</t>
  </si>
  <si>
    <t>Sporuri pentru conditii de munca</t>
  </si>
  <si>
    <t>Indemnizatii de delegare</t>
  </si>
  <si>
    <t>Indemnizatii de detasare</t>
  </si>
  <si>
    <t>Indemnizatii de hrana</t>
  </si>
  <si>
    <t xml:space="preserve">   ~ hotarari judecatoresti</t>
  </si>
  <si>
    <t>Cheltuieli salariale in natura</t>
  </si>
  <si>
    <t>Vouchere de vacanta</t>
  </si>
  <si>
    <t>Contributia asiguratorie pentru munca</t>
  </si>
  <si>
    <t>Contributii platite de angajator in numele angajatului</t>
  </si>
  <si>
    <t>Materiale si prestari de servicii cu caracter functional din care:</t>
  </si>
  <si>
    <t xml:space="preserve"> - sume pentru servicii poştale în vederea distribuţiei cardurilor naţionale </t>
  </si>
  <si>
    <t xml:space="preserve">  - sume pentru servicii de mententanta si suport tehnic pentru sistemul ERP</t>
  </si>
  <si>
    <t>Despagubiri civile</t>
  </si>
  <si>
    <t>Sume aferente persoanelor cu handicap neincadrate</t>
  </si>
  <si>
    <t>Masini, echipamente si mijloace de transport</t>
  </si>
  <si>
    <t>Servicii publice descentralizate, din care:</t>
  </si>
  <si>
    <t xml:space="preserve"> Plati efectuate in anii precedenti si recuperate in anul curent</t>
  </si>
  <si>
    <t xml:space="preserve">    ~  cost volum-rezultat</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</si>
  <si>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</si>
  <si>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</si>
  <si>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</si>
  <si>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</si>
  <si>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medicamente 40% - conform HG nr.186/2009 privind aprobarea Programului pentru compensarea cu 90% a preţului de referinţă al medicamentelor, cu modificarile si completarile ulterioare</t>
  </si>
  <si>
    <t>Medicamente pentru boli cronice cu risc crescut utilizate in programele nationale cu scop curativ, din care:</t>
  </si>
  <si>
    <t>Subprogramul de tratament al bolnavilor cu afectiuni oncologice(adulti si copii)</t>
  </si>
  <si>
    <t>Materiale sanitare specifice utilizate in programele nationale cu scop curativ, din care:</t>
  </si>
  <si>
    <t xml:space="preserve">       Programul national  de diabet zaharat-pompe insulina si materiale consumabile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</si>
  <si>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</si>
  <si>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</si>
  <si>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</si>
  <si>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</si>
  <si>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</si>
  <si>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activitate curenta</t>
  </si>
  <si>
    <t>per capita</t>
  </si>
  <si>
    <t>per servicii</t>
  </si>
  <si>
    <t xml:space="preserve">  - centre de permanenta</t>
  </si>
  <si>
    <t xml:space="preserve">  - servicii monitorizare legea 136/2020 art.8, alin.3^1-3^3</t>
  </si>
  <si>
    <t>Asistenta medicala stomatologica, din care:</t>
  </si>
  <si>
    <t xml:space="preserve">   -  sume pentru servicii medicale tratament si medicatie pentru personalul contractual din sistemul sanitar</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</si>
  <si>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</si>
  <si>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</si>
  <si>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</si>
  <si>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Subprogramul de diagnostic genetic al tumorilor solide maligne ( sarcom Ewing si neuroblastom ) la copii si adulti</t>
  </si>
  <si>
    <t xml:space="preserve">Asistenta medicala in centrele medicale multifunctionale, din care: </t>
  </si>
  <si>
    <t xml:space="preserve">    ~ activitatea curenta, din care:</t>
  </si>
  <si>
    <t>public</t>
  </si>
  <si>
    <t>privat</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</si>
  <si>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</si>
  <si>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</si>
  <si>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</si>
  <si>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 xml:space="preserve">   ~ personal contractual</t>
  </si>
  <si>
    <t xml:space="preserve"> Plati efectuate in anii precedenti si recuperate in anul curent-SANATATE</t>
  </si>
  <si>
    <t>Transferuri din bugetul fondului national unic de asigurări sociale de sănătate către unitățile sanitare pentru acoperirea creșterilor salariale, din care:</t>
  </si>
  <si>
    <t>ASIGURARI SI ASISTENTA SOCIALA</t>
  </si>
  <si>
    <r>
      <t>TITLUL</t>
    </r>
    <r>
      <rPr>
        <b/>
        <i/>
        <sz val="10"/>
        <rFont val="Times New Roman"/>
        <family val="1"/>
        <charset val="238"/>
      </rPr>
      <t xml:space="preserve"> IX</t>
    </r>
    <r>
      <rPr>
        <b/>
        <sz val="10"/>
        <rFont val="Times New Roman"/>
        <family val="1"/>
        <charset val="238"/>
      </rPr>
      <t xml:space="preserve"> ASISTENTA SOCIALA</t>
    </r>
  </si>
  <si>
    <t xml:space="preserve"> Plati efectuate in anii precedenti si recuperate in anul curent - Asistenta sociala</t>
  </si>
  <si>
    <t>21.03.05</t>
  </si>
  <si>
    <t>Contributii de asigurari sociale de sanatate restituite</t>
  </si>
  <si>
    <t xml:space="preserve">   - activitate curenta, din care:</t>
  </si>
  <si>
    <r>
      <t xml:space="preserve">Rezerve, fonduri </t>
    </r>
    <r>
      <rPr>
        <sz val="11"/>
        <rFont val="Arial"/>
        <family val="2"/>
      </rPr>
      <t xml:space="preserve">  (ct.1000000+1000101+1000201+1000202+1000301+1000401+1000402+1010000+1020101+1020102+1020103+ 1030000+1040101+1040102+1040103+1050100+1050200+ 1050300+1050400+1050500+/-1060000+1320000+1330000)  </t>
    </r>
  </si>
  <si>
    <t>CHELTUIELI  CU BUNURI ȘI SERVICII</t>
  </si>
  <si>
    <t>Bugetul  creditelor externe             (s06-stat+local)</t>
  </si>
  <si>
    <t>Bugetul creditelor interne 
(s07-stat+local)</t>
  </si>
  <si>
    <t>3. Numerar net din activitatea de finanţare            (rd. 10- rd 11)</t>
  </si>
  <si>
    <t xml:space="preserve">  -  Programul national de tratament pentru boli rare (mucoviscidoză)</t>
  </si>
  <si>
    <t xml:space="preserve">   ~ servicii de monitorizare a starii de sanatate a pacientilor in conditiile art.8, alin.3^1-3^3 din Legea nr.136/2020, cu modificarile si completarile ulterioare</t>
  </si>
  <si>
    <t xml:space="preserve">    ~ finantarea activitatii prestate în cadrul centrelor de vaccinare împotriva COVID-19 potrivit OUG nr. 3/2021, cu modificarile si completarile ulterioare</t>
  </si>
  <si>
    <t xml:space="preserve">    ~ Servicii medicale paraclinice utilizate in PNS, din care:</t>
  </si>
  <si>
    <t xml:space="preserve">    ~ Servicii medicale spitalicesti utilizate in PNS</t>
  </si>
  <si>
    <t xml:space="preserve">  ~ finantarea activitatii prestate de medicii de familie potrivit OUG nr. 3/2021, cu modificarile si completarile ulterioare</t>
  </si>
  <si>
    <t>Asistenta medicala  pentru specialitati clinice, din care:</t>
  </si>
  <si>
    <t>Spitale generale, din care:</t>
  </si>
  <si>
    <t>Asistenta medicala pentru specialitati paraclinice din care:</t>
  </si>
  <si>
    <t xml:space="preserve">  -  Programul national de tratament pentru boli rare (mucoviscidoza)</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</si>
  <si>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</si>
  <si>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</si>
  <si>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</si>
  <si>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 xml:space="preserve">   ~ finantarea activitatii prestate în cadrul centrelor de vaccinare împotriva COVID-19</t>
  </si>
  <si>
    <t xml:space="preserve">    ~ finantarea activitatii prestate în cadrul centrelor de vaccinare împotriva COVID-19</t>
  </si>
  <si>
    <r>
      <t>Sume pentru medicamente utilizate in programele nationale cu scop curativ care fac obiectul contractelor de tip COST VOLUM</t>
    </r>
    <r>
      <rPr>
        <b/>
        <sz val="9"/>
        <color theme="0"/>
        <rFont val="Arial"/>
        <family val="2"/>
        <charset val="238"/>
      </rPr>
      <t xml:space="preserve">, </t>
    </r>
    <r>
      <rPr>
        <b/>
        <sz val="9"/>
        <rFont val="Arial"/>
        <family val="2"/>
        <charset val="238"/>
      </rPr>
      <t>din care:</t>
    </r>
  </si>
  <si>
    <t xml:space="preserve"> SITUATIA  SERVICIILOR MEDICALE/MEDICAMENTELOR DE CARE AU BENEFICIAT </t>
  </si>
  <si>
    <t>Nr crt</t>
  </si>
  <si>
    <t>Denumirea indicatorilor</t>
  </si>
  <si>
    <t>Valoare în lei</t>
  </si>
  <si>
    <t>Valoarea serviciilor medicale/medicamentelor acordate, conform datelor raportate de furnizorii de servicii medicale în  SIUI</t>
  </si>
  <si>
    <t>Valoarea serviciilor medicale/medicamentelor raportate eronat de furnizorii de servicii medicale</t>
  </si>
  <si>
    <t>Valoarea serviciilor medicale/medicamentelor înregistrate în contabilitate în analiticul prestații UE pentru care nu s-a întocmit formular E125, astfel:</t>
  </si>
  <si>
    <t>Valoarea serviciilor medicale/medicamentelor înregistrate în contabilitate în analiticul prestații UE pentru care  s-au întocmit formular E125, astfel:</t>
  </si>
  <si>
    <t>Valoarea formularelor inregistrate în perioadele anterioare, care au fost stornate</t>
  </si>
  <si>
    <t xml:space="preserve">ASIGURAŢII STRĂINI PE TERITORIUL ROMÂNIEI </t>
  </si>
  <si>
    <t xml:space="preserve">Valoarea serviciilor medicale/medicamentelor  pentru care s-au întocmit formulare de recuperare a creanțelor </t>
  </si>
  <si>
    <t>Valoarea serviciilor medicale înregistrate în contabilitate</t>
  </si>
  <si>
    <t xml:space="preserve">Sold la începutul anului </t>
  </si>
  <si>
    <t>Valoarea serviciilor medicale/medicamentelor acordate cetățenilor străini de înregistrat în contabilitate (rd 3=rd1- rd2)</t>
  </si>
  <si>
    <t>Valoarea creanțelor recuperate în perioad de raportare</t>
  </si>
  <si>
    <t>Alte programe comunitare finantate în perioada 2014-2020 (APC)</t>
  </si>
  <si>
    <t>48.15</t>
  </si>
  <si>
    <t>48.15.01</t>
  </si>
  <si>
    <t>48.15.02</t>
  </si>
  <si>
    <t>Contribuția asiguratorie pentru muncă, dc</t>
  </si>
  <si>
    <t xml:space="preserve">    ~ finantarea activitatii prestate de medicii de specialitate care desfășoară activitate de  vaccinare împotriva COVID-19, în cadrul furnizorilor din ambultoriul de specialitate pt specialitățole clinice, inclusiv ambulatoriului integrat al spitalelor, pt serviciile prevăzute la art 3, alin. 5^2 din  OUG nr. 3/2021, cu modificarile si completarile ulterioare</t>
  </si>
  <si>
    <t>~majorarea acordată suplimentar drepturilor salariale cuvenite, in cuantum de 75%,  pentru personalul din unităţile sanitare publice, conform art.7, alin.(8) din OUG 110/2021</t>
  </si>
  <si>
    <t>Diminuare de sold ca urmare a inregistrării în conturi în afara bilanțului cf OMFP 27/2021</t>
  </si>
  <si>
    <t>AL DE PLATĂ</t>
  </si>
  <si>
    <t>TOTAL ACTIVE FIXE                              (rd. 05+19)</t>
  </si>
  <si>
    <t>Cost mediu pe bolnav (lei)</t>
  </si>
  <si>
    <t>Număr locuitori (beneficiari ai serviciilor)</t>
  </si>
  <si>
    <t xml:space="preserve"> -   Cosumabile pompe</t>
  </si>
  <si>
    <t xml:space="preserve">  -  Hemoglobina glicozilata</t>
  </si>
  <si>
    <t xml:space="preserve"> -   Teste de automonitorizare (copii si adulti)</t>
  </si>
  <si>
    <r>
      <t xml:space="preserve">Denumire program: </t>
    </r>
    <r>
      <rPr>
        <sz val="11"/>
        <rFont val="TimesRomanR"/>
        <charset val="238"/>
      </rPr>
      <t xml:space="preserve"> </t>
    </r>
    <r>
      <rPr>
        <b/>
        <sz val="10"/>
        <rFont val="TimesRomanR"/>
        <charset val="238"/>
      </rPr>
      <t>PROGRAM NAŢIONAL PRIVIND ASIGURAREA SERVICIILOR MEDICALE,</t>
    </r>
  </si>
  <si>
    <t>ct. 7790101 Venituri, bunuri şi servicii primite cu titlu gratuit - transfer active fixe şi stocuri între instituţii publice</t>
  </si>
  <si>
    <t xml:space="preserve">Venituri din impozite, taxe, contribuţii de asigurări şi alte venituri ale bugetelor </t>
  </si>
  <si>
    <t xml:space="preserve">TOTAL VENITURI  </t>
  </si>
  <si>
    <t>Finantări, subvenţii, transferuri, alocaţii bugetare cu destinaţie specială</t>
  </si>
  <si>
    <t xml:space="preserve">Alte venituri operaţionale </t>
  </si>
  <si>
    <t xml:space="preserve">VENITURI FINANCIARE </t>
  </si>
  <si>
    <t xml:space="preserve">VENITURI EXTRAORDINARE       </t>
  </si>
  <si>
    <t xml:space="preserve">TOTAL CHELTUIELI   </t>
  </si>
  <si>
    <t xml:space="preserve">CHELTUIELI  OPERAŢIONALE </t>
  </si>
  <si>
    <t xml:space="preserve">Salariile şi contribuţiile sociale aferente angajaţilor </t>
  </si>
  <si>
    <t xml:space="preserve">Subventii şi transferuri </t>
  </si>
  <si>
    <t xml:space="preserve">Stocuri, consumabile, lucrări şi servicii executate de terţi </t>
  </si>
  <si>
    <t xml:space="preserve">Cheltuieli de capital, amortizări şi provizioane </t>
  </si>
  <si>
    <t xml:space="preserve">Alte cheltuieli operaţionale </t>
  </si>
  <si>
    <t xml:space="preserve">CHELTUIELI FINANCIARE </t>
  </si>
  <si>
    <t xml:space="preserve">CHELTUIELI  EXTRAORDINARE                               </t>
  </si>
  <si>
    <t>10,02,06</t>
  </si>
  <si>
    <t>10,03,01</t>
  </si>
  <si>
    <t>10,03,02</t>
  </si>
  <si>
    <t>10,03,03</t>
  </si>
  <si>
    <t>10,03,04</t>
  </si>
  <si>
    <t>10,03,06</t>
  </si>
  <si>
    <t>10,03,07</t>
  </si>
  <si>
    <t>10,03,08</t>
  </si>
  <si>
    <t>10,01,13+10,01,14+10,01,30</t>
  </si>
  <si>
    <t>68,05,01+68,06,00</t>
  </si>
  <si>
    <t>59,17+59,40</t>
  </si>
  <si>
    <t>20,01,05</t>
  </si>
  <si>
    <t>20,01,06</t>
  </si>
  <si>
    <t>20,30,04</t>
  </si>
  <si>
    <t>20,01,30</t>
  </si>
  <si>
    <t>20,06,01+0,06,02</t>
  </si>
  <si>
    <t>20,30,01</t>
  </si>
  <si>
    <t>20,01,08</t>
  </si>
  <si>
    <t>20,30,30</t>
  </si>
  <si>
    <t>20,01,09+20,01,30+20,30,30</t>
  </si>
  <si>
    <t>20,13+20,14+20,25+20,30,30</t>
  </si>
  <si>
    <t>20,01,03+20,01,04</t>
  </si>
  <si>
    <t>20,01,01+20,01,02+20,01,03+20,01,09+20,01,30+20,11+20,14</t>
  </si>
  <si>
    <t>71,01,01+71,01,02+71,01,03+71,01,30</t>
  </si>
  <si>
    <t>71,01,01+71,01,30+71,03</t>
  </si>
  <si>
    <t>20,03,03</t>
  </si>
  <si>
    <t>10,01,01+10,01,05+10,01,06+10,01,12+10,01,17</t>
  </si>
  <si>
    <t>51,01,66+51,01,75</t>
  </si>
  <si>
    <t>20,05,30+20,11</t>
  </si>
  <si>
    <t>ct.7750000  Finanţarea din fonduri externe nerambursabile postaderare</t>
  </si>
  <si>
    <t>ct.7790109 Venituri, bunuri şi servicii primite cu titlu gratuit – alte operaţiuni</t>
  </si>
  <si>
    <t>Din care chelt. efectuate din cont 550, disponibil din  sume primite ca donatii si sponsorizari</t>
  </si>
  <si>
    <t>Depozite din veniturile FNUASS</t>
  </si>
  <si>
    <r>
      <t xml:space="preserve">Terenuri şi clădiri                              </t>
    </r>
    <r>
      <rPr>
        <sz val="11"/>
        <rFont val="Arial"/>
        <family val="2"/>
      </rPr>
      <t xml:space="preserve"> (ct.2110100+2110200+2120101+2120102+2120201+           2120301+2120401+2120501+2120601+2120901+2310000-2810100-2810201-2810202-2810203-2810204-2810205-2810206-2810207-2810208 -2910100-2910201-2910202-2910203-2910204-2910205-2910206-2910207-2910208-2930200)</t>
    </r>
  </si>
  <si>
    <t>Fondul bunurilor care alcătuiesc proprietatea privată a instituţiei publice(ct. 1020102)</t>
  </si>
  <si>
    <t>PREVEDERI  INITIALE</t>
  </si>
  <si>
    <t>PREVEDERI  DEFINITIVE</t>
  </si>
  <si>
    <t>REALIZĂRI</t>
  </si>
  <si>
    <t>Alte provizioane sub un an ( servicii medicale acordate cetățenilor români pe teritoriul altor state)</t>
  </si>
  <si>
    <t>Alte provizioane peste un an ( servicii medicale acordate cetățenilor români pe teritoriul altor state)</t>
  </si>
  <si>
    <t>Fondul de rulment (Ct. 131)</t>
  </si>
  <si>
    <t>Fondul de amortizare aferent activelor fixe detinute de serviciile publice de interes local (Ct.134)</t>
  </si>
  <si>
    <t>Fondul de risc (Ct. 135)</t>
  </si>
  <si>
    <t>Fondul depozitelor speciale constituite pentru constructii de locuinte (Ct. 136)</t>
  </si>
  <si>
    <t>Taxe speciale (Ct. 137)</t>
  </si>
  <si>
    <t>Fondul  activelor fixe necorporale                                                                            ( ct. 1000000+1000101+1000201+1000202+1000301+ 1000401+ 1000402)</t>
  </si>
  <si>
    <t>Fondul activelor fixe necorporale  cont 1000101+100101+1000201+1000202+1000301+1000401+1000402</t>
  </si>
  <si>
    <t>SUME INREGISTRATE IN CONTUL 8081 ACTIVE CONTINGENTE</t>
  </si>
  <si>
    <t>Cheltuieli spitalicești aferente victimelor accidentelor rutiere, și agresiunilor fizice</t>
  </si>
  <si>
    <t>Drepturi de creanță din litigii în instanță cu rezultate incerte</t>
  </si>
  <si>
    <t>Creanțe din prestații UE de care au beneficiat persoanele fizice neasigurate</t>
  </si>
  <si>
    <t>SUME INREGISTRATE IN CONTUL 8082 DATORII CONTINGENTE</t>
  </si>
  <si>
    <t>Datorii contingente din depășirea valorii de contracte încheiate cu unitățile sanitare cu paturi</t>
  </si>
  <si>
    <t>Datorii contingente din litigii în instanță cu rezultate incerte</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</si>
  <si>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</si>
  <si>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Valoarea cererior care se pot achita</t>
  </si>
  <si>
    <t>Valoarea cererilor care au fost scăzute și nu se mai achită</t>
  </si>
  <si>
    <t>Existent la 31.12.2021</t>
  </si>
  <si>
    <t>CHELTUIELI TOTAL, DIN CARE</t>
  </si>
  <si>
    <t>VALORII  CONTRACTELOR  ÎNCHEIATE PENTRU ANUL 2022 CU UNITĂŢILE SANITARE</t>
  </si>
  <si>
    <t>anularea provizioanelor concomitent cu înregistrarea obligațiilor de plată pentru prestații medicale acordate cetățenilor români pe teritoriul altor state</t>
  </si>
  <si>
    <t>anularea provizioanelor ca urmare a scăderii formulare refuzate pentru prestatii UE</t>
  </si>
  <si>
    <t xml:space="preserve"> ~ finantarea activitatii de administrare a vaccinului de către medicii de familie potrivit OUG nr. 3/2021, cu modificarile si completarile ulterioare</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</si>
  <si>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</si>
  <si>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</si>
  <si>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</si>
  <si>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Programul national de tratament pentru boli rare (medicamente incluse conditionat)</t>
  </si>
  <si>
    <t xml:space="preserve"> - din care chelt efectuate de la art 580201si 580202</t>
  </si>
  <si>
    <t xml:space="preserve">Provizioane  reprezentând prestații medicale acordate ceățenilor români pe teritoriu altor state                      </t>
  </si>
  <si>
    <t xml:space="preserve"> PLATI EFECTUATE IN ANII PRECEDENTI SI RECUPERATE IN ANUL CURENT (cod 85.01)</t>
  </si>
  <si>
    <t>TITLUL XV                                   ACTIVE NEFINANCIARE</t>
  </si>
  <si>
    <t>TITLUL XV ACTIVE NEFINANCIARE</t>
  </si>
  <si>
    <t>Valoarea creanțelor nerecuperate la sfârșitul perioadei de raportare (rd 13= rd9+rd 10-rd11-rd12)</t>
  </si>
  <si>
    <t>Valoarea serviciilor medicale/medicamentelor  pentru care nu  s-au întocmit formulare de recuperare a creanțelor până la sfârșitul perioadei de raportare (rd 8= rd4+rd 5-rd 6-rd 7)</t>
  </si>
  <si>
    <t>TITLUL XV  ACTIVE NEFINANCIARE               (cod 71.01+71.02+71.03)</t>
  </si>
  <si>
    <t>PLATI EFECTUATE IN ANII PRECEDENTI SI RECUPERATE IN ANUL CURENT (cod 85.01)</t>
  </si>
  <si>
    <t>TITLUL XV ACTIVE NEFINANCIARE (cod 71.01+71.02+71.03)</t>
  </si>
  <si>
    <t xml:space="preserve">
</t>
  </si>
  <si>
    <t>cod rând</t>
  </si>
  <si>
    <t xml:space="preserve">Bugetul asigurărilor pentru şomaj            (s04-şomaj))
</t>
  </si>
  <si>
    <t>Bugetul asigurărilor sociale de stat       (s03-bass)</t>
  </si>
  <si>
    <t xml:space="preserve">Bugetul instituţiilor publice şi activităţilor finanţate integral sau parţial din venituri proprii (s20-stat+asigurări+ autonome) </t>
  </si>
  <si>
    <t>Bugetul instutuţiilor publice si activitatilor finanţate integral sau partial din venituri proprii (s10-local)</t>
  </si>
  <si>
    <t>Bunuri şi servicii (titlul II)</t>
  </si>
  <si>
    <t>Situaţia plăţilor efectuate  la titlull 56 și titlull 58</t>
  </si>
  <si>
    <t>Cheltuieli de personal  (titlul I)</t>
  </si>
  <si>
    <t>Bunuri şi servicii (titlull II)</t>
  </si>
  <si>
    <t>Subvenţii (titlul IV)</t>
  </si>
  <si>
    <t>Transferuri între unităţi ale administraţiei publice (titlul VI)</t>
  </si>
  <si>
    <t>Alte transferuri (titlul VII)</t>
  </si>
  <si>
    <t xml:space="preserve">Asistenţă socială (titlul IX) </t>
  </si>
  <si>
    <t>Alte cheltuieli (titlul XI)</t>
  </si>
  <si>
    <t>Active nefinanciare (titlul XV)</t>
  </si>
  <si>
    <t>Toal plăţi (titlul X cod 58 )            ( rd. 12  la  rd.19)</t>
  </si>
  <si>
    <t>Toal plăţi (titlul VIII cod 56 + titlull X cod 58) ( rd. 2+ rd.11)</t>
  </si>
  <si>
    <t>Toal plăţi (titlul XII cod 60 )            ( rd. 21  la  rd.28)</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</si>
  <si>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</si>
  <si>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</si>
  <si>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~sume cost volum rezultat, din care</t>
  </si>
  <si>
    <t xml:space="preserve"> - activitatea curenta</t>
  </si>
  <si>
    <t>~sume pentru punerea în aplicare a dispoziţiilor art. 165 alin. ( 1^1)  - (1^3) din Legea nr. 95/2006 ( cf.modificarilor aduse prin Legea nr.109/2022)</t>
  </si>
  <si>
    <t xml:space="preserve">    - medicamente, din care:</t>
  </si>
  <si>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</si>
  <si>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materiale sanitare, din care:</t>
  </si>
  <si>
    <t>Subprogramul de tratament al hidrocefaliei congenitale sau dobandite la copil, din care:</t>
  </si>
  <si>
    <t>Programul national de boli cardiovasculare, din care:</t>
  </si>
  <si>
    <t xml:space="preserve">    - materiale sanitare, din care:</t>
  </si>
  <si>
    <t>Subprogramul de tratament al bolnavilor cu afectiuni oncologice, din care:</t>
  </si>
  <si>
    <t xml:space="preserve">   - pompe insulina si materiale consumabile, sisteme pompa de insulina cu senzori de monitorizare continua a glicemiei si sisteme monitorizare continua a glicemiei, din care:</t>
  </si>
  <si>
    <t xml:space="preserve">   - sume pentru evaluarea anuala a bolnavilor cu diabet zaharat ( inclusiv hemoglobina glicata), din care:</t>
  </si>
  <si>
    <t>Subprogramul de diagnostic si de monitorizare a bolii minime reziduale a bolnavilor cu leucemii acute prin imunofenotipare, examen citogenetic si/sau FISH si de biologie moleculară la copii și adulți, din care:</t>
  </si>
  <si>
    <t>Suprogramul de radioterapie a bolnavilor cu afectiuni oncologice, din care:</t>
  </si>
  <si>
    <t>Programul national de tratament al bolilor neurologice, din care:</t>
  </si>
  <si>
    <t xml:space="preserve"> Programul national de tratament al hemofiliei si talasemiei, din care:</t>
  </si>
  <si>
    <t>Programul national de transplant de organe, tesuturi si celule de origine umana, din care:</t>
  </si>
  <si>
    <t xml:space="preserve"> Programul national de boli endocrine, din care:</t>
  </si>
  <si>
    <t xml:space="preserve"> Programul national de ortopedie, din care:</t>
  </si>
  <si>
    <r>
      <t xml:space="preserve"> </t>
    </r>
    <r>
      <rPr>
        <b/>
        <i/>
        <sz val="10"/>
        <rFont val="Arial"/>
        <family val="2"/>
        <charset val="238"/>
      </rPr>
      <t>Programul national de supleere a functiei renale la bolnavii cu insuficienta renala cronica, din care:</t>
    </r>
  </si>
  <si>
    <t xml:space="preserve"> Programul national de PET-CT ONCOLOGIE, din care:</t>
  </si>
  <si>
    <t xml:space="preserve">  -  Subprogramul de tratament medicamentos al bolnavilor cu afectiuni oncologice (adulti si copii), din care:</t>
  </si>
  <si>
    <t>-terapie avansata CAR-T</t>
  </si>
  <si>
    <t xml:space="preserve">    - terapie avansata CAR-T</t>
  </si>
  <si>
    <t>Creditori sub 1 an-datorii comerciale</t>
  </si>
  <si>
    <t>Creditori peste 1 an-datorii comerciale</t>
  </si>
  <si>
    <t>Creditori sub 1 an- alte datorii curente</t>
  </si>
  <si>
    <t>Creditori peste  1 an- alte datorii necurente</t>
  </si>
  <si>
    <t>~suma corespunzătoare alocației de hrană din unitățile sanitare publice</t>
  </si>
  <si>
    <t>20.03.07</t>
  </si>
  <si>
    <t>Contributia de asigurări sociale de sănătate suportată de angajatorul/plătitorul de venit, după caz</t>
  </si>
  <si>
    <t>~ Suma corespunzatoare alocaţiei de hrană din unităţile sanitare publice</t>
  </si>
  <si>
    <t xml:space="preserve">    ~ Suma corespunzatoare alocaţiei de hrană din unităţile sanitare publice</t>
  </si>
  <si>
    <t>Materiale si prestari de servicii cu caracter medical, din care:</t>
  </si>
  <si>
    <r>
      <t xml:space="preserve">    ~</t>
    </r>
    <r>
      <rPr>
        <b/>
        <sz val="10"/>
        <rFont val="Arial"/>
        <family val="2"/>
        <charset val="238"/>
      </rPr>
      <t xml:space="preserve"> cost volum rezultat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</si>
  <si>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    ~ </t>
    </r>
    <r>
      <rPr>
        <b/>
        <sz val="10"/>
        <rFont val="Arial"/>
        <family val="2"/>
        <charset val="238"/>
      </rPr>
      <t>activitate curenta</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</si>
  <si>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    ~ </t>
    </r>
    <r>
      <rPr>
        <b/>
        <sz val="10"/>
        <rFont val="Arial"/>
        <family val="2"/>
        <charset val="238"/>
      </rPr>
      <t xml:space="preserve">cost volum </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</si>
  <si>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Materiale sanitare specifice utilizate in programele nationale cu scop curativ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</si>
  <si>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Servicii medicale de hemodializa si dializa peritoneala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</si>
  <si>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Dispozitive si echipamente medicale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</si>
  <si>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Servicii de urgenta prespitalicesti si transport sanitar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</si>
  <si>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t xml:space="preserve">  ~ Servicii medicale spitalicesti utilizate in PNS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</si>
  <si>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r>
      <t xml:space="preserve">    ~ </t>
    </r>
    <r>
      <rPr>
        <b/>
        <sz val="10"/>
        <rFont val="Arial"/>
        <family val="2"/>
        <charset val="238"/>
      </rPr>
      <t>Cost volum</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</si>
  <si>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t>Venituri din aplicarea prescriptiei extinctive</t>
  </si>
  <si>
    <t>Alte imprumuturi acordate pe termen scurt</t>
  </si>
  <si>
    <t>Situaţie cont 473  "Decontări din operații în curs de clarificare"  - asistență socială</t>
  </si>
  <si>
    <t>REALIZARI AN 2022</t>
  </si>
  <si>
    <t xml:space="preserve">  -  Programul national de tratament pentru bolilor neurologice, din care:</t>
  </si>
  <si>
    <t xml:space="preserve">         - sevicii medicale, din care:</t>
  </si>
  <si>
    <t>ANGAJAMENT LEGAL DE PLATA</t>
  </si>
  <si>
    <t>Debitori sub 1 an- alte creante</t>
  </si>
  <si>
    <t xml:space="preserve">  - Subprogramul naţional de tratament medicamentos al bolnavilor cu osteoporoză</t>
  </si>
  <si>
    <t xml:space="preserve">   - Subprogramul naţional de tratament medicamentos al bolnavilor cu guşă datorată carenţei de iod şi proliferării maligne</t>
  </si>
  <si>
    <t>Program naţional de PET-CT</t>
  </si>
  <si>
    <t>Numar persoane înscrise pe lista medicului de familie</t>
  </si>
  <si>
    <t>Număr analize medicale+ radiologie și imagistică</t>
  </si>
  <si>
    <t>Număr cazuri realizate</t>
  </si>
  <si>
    <t>Cost mediu/pe beneficiar (lei)</t>
  </si>
  <si>
    <t>cost mediu/caz (lei)</t>
  </si>
  <si>
    <t>Cost mediu/ pe beneficiar (lei)</t>
  </si>
  <si>
    <t>SERVICII MEDICALE IN UNITATI SANITARE CU PATURI</t>
  </si>
  <si>
    <t>Programe finanțate din Fondul Social European Plus (FSE+), aferente cadrului financiar 2021-2027 (56.49)</t>
  </si>
  <si>
    <t>39.7</t>
  </si>
  <si>
    <t>Fondul pentru azil, migrație și integrare 2021-2027 (FAMI) (56.58)</t>
  </si>
  <si>
    <t>Fondul pentru securitate internă 2021-2027 (FSI) (56.59)</t>
  </si>
  <si>
    <t>Instrumentul de sprijin financiar pentru managementul frontierelor și politica de vize 2021-2027 (IMFV) (56.60)</t>
  </si>
  <si>
    <t>Asistență tehnică pentru fondurile în domeniul afacerilor interne 2021-2027  (56.61)</t>
  </si>
  <si>
    <t>Programe finanțate din Fondul European de Dezvoltare Regională (FEDR), aferente cadrului financiar 2021-2027 (56.48)</t>
  </si>
  <si>
    <t>Programe finanțate din Fondul de Coeziune(FC), aferente cadrului financiar 2021-2027 (56.50)</t>
  </si>
  <si>
    <t>Asistență tehnică  în cadrul programelor operaționale, altele decât Programul Operațional Asistență Tehnică, aferentă cadrului financiar   2021-2027  (56.56)</t>
  </si>
  <si>
    <t>Programe finanțate din Fondul pentru o Tranziție Justă (FTJ), aferente cadrului financiar 2021-2027 (56.51)</t>
  </si>
  <si>
    <t>Programe Instrumentul de asistență pentru preaderare (IPA III) (56.65)</t>
  </si>
  <si>
    <t>Programe Instrumentul de vecinătate, cooperare pentru dezvoltare și cooperare internațională - Europa globală (NDICI) (56.66)</t>
  </si>
  <si>
    <t>Asistență Tehnică, aferentă cadrului financiar 2021-2027 (56.55)</t>
  </si>
  <si>
    <t>Total (cod 01 la 50)</t>
  </si>
  <si>
    <t>Programe finanțate din Fondul Social European Plus (FSE+), aferente cadrului financiar 2021-2027</t>
  </si>
  <si>
    <t>Fondul pentru azil, migrație și integrare 2021-2027 (FAMI)</t>
  </si>
  <si>
    <t xml:space="preserve">Fondul pentru securitate internă 2021-2027 (FSI) </t>
  </si>
  <si>
    <t xml:space="preserve">Instrumentul de sprijin financiar pentru managementul frontierelor și politica de vize 2021-2027 (IMFV) </t>
  </si>
  <si>
    <t xml:space="preserve">Asistență tehnică pentru fondurile în domeniul afacerilor interne 2021-2027  </t>
  </si>
  <si>
    <t xml:space="preserve">Programe finanțate din Fondul European de Dezvoltare Regională (FEDR), aferente cadrului financiar 2021-2027 </t>
  </si>
  <si>
    <t xml:space="preserve">Programe finanțate din Fondul de Coeziune(FC), aferente cadrului financiar 2021-2027 </t>
  </si>
  <si>
    <t xml:space="preserve">Asistență tehnică  în cadrul programelor operaționale, altele decât Programul Operațional Asistență Tehnică, aferentă cadrului financiar  2021-2027  </t>
  </si>
  <si>
    <t xml:space="preserve">Programe finanțate din Fondul pentru o Tranziție Justă (FTJ), aferente cadrului financiar 2021-2027 </t>
  </si>
  <si>
    <t xml:space="preserve">Programe Instrumentul de asistență pentru preaderare (IPA III) </t>
  </si>
  <si>
    <t xml:space="preserve">Programe Instrumentul de vecinătate, cooperare pentru dezvoltare și cooperare internațională - Europa globală (NDICI) </t>
  </si>
  <si>
    <t>47</t>
  </si>
  <si>
    <t xml:space="preserve">Asistență Tehnică, aferentă cadrului financiar 2021-2027 </t>
  </si>
  <si>
    <t>48</t>
  </si>
  <si>
    <t>Total   (cod 01 la 48)</t>
  </si>
  <si>
    <t xml:space="preserve">Fondul pentru azil, migrație și integrare 2021-2027 (FAMI) </t>
  </si>
  <si>
    <t>Fondul pentru securitate internă 2021-2027 (FSI)</t>
  </si>
  <si>
    <t>Total (cod 01 la 48)</t>
  </si>
  <si>
    <t xml:space="preserve"> - din care chelt efectuate de la art 10.01.13</t>
  </si>
  <si>
    <t xml:space="preserve"> - din care chelt efectuate de la art 20.06.02</t>
  </si>
  <si>
    <t xml:space="preserve"> - din care chelt efectuate de la art 20.30.30</t>
  </si>
  <si>
    <t>Mecanismul pentru Interconectarea Europei (MIE)</t>
  </si>
  <si>
    <t>4808.19</t>
  </si>
  <si>
    <t>48.19.03</t>
  </si>
  <si>
    <t>4808.19.01</t>
  </si>
  <si>
    <t>4808.19.02</t>
  </si>
  <si>
    <t>4808.19.03</t>
  </si>
  <si>
    <t>4808.15.03</t>
  </si>
  <si>
    <t>47.05.05</t>
  </si>
  <si>
    <t>Program  an 2023</t>
  </si>
  <si>
    <t>Credite de angajament aprobate an 2023</t>
  </si>
  <si>
    <t>Credite bugetare aprobate  an 2023</t>
  </si>
  <si>
    <t>Credite bugetare aprobate
an 2023</t>
  </si>
  <si>
    <t>SOLD LA INCEPUTUL ANULUI</t>
  </si>
  <si>
    <t>anuale aprobate la finele perioadei de raportare</t>
  </si>
  <si>
    <t>trimestriale cumulate</t>
  </si>
  <si>
    <t>48.19</t>
  </si>
  <si>
    <t>48.19.01</t>
  </si>
  <si>
    <t>48.19.02</t>
  </si>
  <si>
    <t xml:space="preserve"> - Programul national de tratament pentru boli rare   HTAP</t>
  </si>
  <si>
    <t>Programul national de sanatate mintala - 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</si>
  <si>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</si>
  <si>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</si>
  <si>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</si>
  <si>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</si>
  <si>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 xml:space="preserve"> ~ influente financiare determinate de cresterile salariale prevazute de art.I, alin.(1), din OUG nr.168/2022 cu modificările şi completările ulterioare, reprezentand majorarea,  începând cu data de 1 ianuarie, cu 10% faţă de nivelul acordat pentru luna decembrie 2022 , a cuantumului brut al salariilor de bază/soldelor de funcţie/salariilor de funcţie/indemnizaţiilor de încadrare lunară de care beneficiază personalul plătit din fonduri publice , fără a se depăşi valoarea nominală pentru anul 2022 stabilită potrivit anexelor la Legea-cadru nr. 153/2017, cu modificările şi completările ulterioare</t>
  </si>
  <si>
    <t>6605.58.30</t>
  </si>
  <si>
    <t>6605.58.30.01</t>
  </si>
  <si>
    <t>6605.58.30.02</t>
  </si>
  <si>
    <t>6605.58.30.03</t>
  </si>
  <si>
    <t>5008.58.30</t>
  </si>
  <si>
    <t>5008.58.30.02</t>
  </si>
  <si>
    <t>66.08.58.30</t>
  </si>
  <si>
    <t>66.08.58.30.02</t>
  </si>
  <si>
    <t>Alte valori rezultate din operaţiunile privind veniturile bugetului general consolidat</t>
  </si>
  <si>
    <t>08.1</t>
  </si>
  <si>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t>
  </si>
  <si>
    <t>Subprogramul national de tratament al bolnavilor cu toxicodependeta, precum si de testare a metabolitilor stupefiantelor, din care:</t>
  </si>
  <si>
    <t>Subprogramul national de servicii conexe acordate persoanelor diagnosticate cu tulburari din spectrul autist</t>
  </si>
  <si>
    <t>Subprogramul national de testare genetica</t>
  </si>
  <si>
    <t>Programul national de endometrioza</t>
  </si>
  <si>
    <t>FISA PROGRAMULUI PRIVIND TRANSFERURI INTRE UNITATI ALE ADMINISTRATIEI PUBLICE - Transferuri din bugetul fondului national unic de asigurări sociale de sănătate către unitățile sanitare publice pentru acoperirea creșterilor salariale</t>
  </si>
  <si>
    <t>Cod program 
2535</t>
  </si>
  <si>
    <t>TITLUL VI - TRANSFERURI INTRE UNUTATI ALE ADIMISTRATIEI PUBLICE</t>
  </si>
  <si>
    <t>Cod program 
2534</t>
  </si>
  <si>
    <t xml:space="preserve">           FISA PROGRAMULUI PRIVIND CONCEDIILE SI IDEMNIZATIILE DE ASIGURARI SOCIALE DE SANATATE</t>
  </si>
  <si>
    <t>Cod program 
2435</t>
  </si>
  <si>
    <t>TITLUL IX - ASISTENTA SOCIALA</t>
  </si>
  <si>
    <t>Cod program 
1704</t>
  </si>
  <si>
    <t>Cod program 
530</t>
  </si>
  <si>
    <t>Cod program
659</t>
  </si>
  <si>
    <t xml:space="preserve">           FISA PROGRAMULUI - MANAGEMENTUL SI ADMINISTRATIA</t>
  </si>
  <si>
    <t>2435</t>
  </si>
  <si>
    <t>2534</t>
  </si>
  <si>
    <t>2535</t>
  </si>
  <si>
    <t>IV. Programul privind concediile si indemnizatiile de asigurari sociale de sanatate</t>
  </si>
  <si>
    <t>V. Managementul si administratia</t>
  </si>
  <si>
    <t>VI. Transferuri intre unitati ale administratiei publice</t>
  </si>
  <si>
    <t>I. Programe nationale de sanatate curative</t>
  </si>
  <si>
    <t>Program an 2023</t>
  </si>
  <si>
    <t>TITLUL X PROIECTE CU FINANTARE DIN FONDURI EXTERNE NERAMBURSABILE (FEN) POSTADERARE</t>
  </si>
  <si>
    <t>Debitori peste 1 an- alte creante</t>
  </si>
  <si>
    <t>SITUATIA ANGAJAMENTELOR BUGETARE</t>
  </si>
  <si>
    <t>ANGAJAMENTE BUGETARE</t>
  </si>
  <si>
    <t>Agajamente bugetare minus recuperari in anul curent</t>
  </si>
  <si>
    <t>SITUATIA ANGAJAMENTELOR LEGALE</t>
  </si>
  <si>
    <t>Agajamente legale curente minus recuperari in anul curent</t>
  </si>
  <si>
    <t>1=2+3</t>
  </si>
  <si>
    <t>5=3+4</t>
  </si>
  <si>
    <t>la  data  de  30  IUNIE  2023</t>
  </si>
  <si>
    <t>Plati realizate la 30.06.2023</t>
  </si>
  <si>
    <t>Situatia privind platile realizate la 30 IUNIE 2023 pentru finantarea masurilor prevazute in actele normative care reglementeaza situatia epidemiologica determinta de raspandirea virusului SARS - CoV2</t>
  </si>
  <si>
    <t>Credite de angajament aprobate semestrul I an 2023</t>
  </si>
  <si>
    <t>Credite de angajament realizate semestrul I an 2023</t>
  </si>
  <si>
    <t>Credite bugetare semestrul I an 2023</t>
  </si>
  <si>
    <t>Deschideri de credite bugetare cumulate la 30.06.2023</t>
  </si>
  <si>
    <t>Plati efectuate la data de  30.06.2023</t>
  </si>
  <si>
    <t>Credite bugetare ssemestrul I
an 2023</t>
  </si>
  <si>
    <t>Plati cumulate la 30.06.2023</t>
  </si>
  <si>
    <t xml:space="preserve">   EXECUTIA  PROGRAMELOR NATIONALE DE SANATATE CURATIVE LA 30.06.2023</t>
  </si>
  <si>
    <t>DENUIREA INDICATORILOR</t>
  </si>
  <si>
    <t>SOLD LA 31.12.2022</t>
  </si>
  <si>
    <t>datorii către persoane juridice</t>
  </si>
  <si>
    <t>datorii către persoane fizice</t>
  </si>
  <si>
    <t>din anul 2022</t>
  </si>
  <si>
    <t>din anul 2021</t>
  </si>
  <si>
    <t>din anul 2020</t>
  </si>
  <si>
    <t>din anul 2019</t>
  </si>
  <si>
    <t>din anul 2018</t>
  </si>
  <si>
    <t>din anul 2017 sau mai vechi</t>
  </si>
  <si>
    <t>din anul 2023</t>
  </si>
  <si>
    <t>SITUAȚIA DATORIILOR  LA CAPITOLUL  ASISTENȚĂ SOCILALĂ</t>
  </si>
  <si>
    <t>VALOAREA CERERILOR DEPUSE DE ANGAJATORI IN PERIOADA DE RAPORTARE / OBLIGAȚII ÎNREGISTRATE CĂTRE PERSOANE FIZICE</t>
  </si>
  <si>
    <t>VALOAREA CERERILOR CARE NU INDEPLINESC CONDIȚIILE DE PLATĂ ȘI AU FOST STORNATE</t>
  </si>
  <si>
    <t>PLĂȚI   EFECTUATE</t>
  </si>
  <si>
    <r>
      <rPr>
        <b/>
        <sz val="11"/>
        <color theme="1"/>
        <rFont val="Times New Roman"/>
        <family val="1"/>
        <charset val="238"/>
      </rPr>
      <t>TOTAL DATORII,</t>
    </r>
    <r>
      <rPr>
        <b/>
        <sz val="10"/>
        <color theme="1"/>
        <rFont val="Times New Roman"/>
        <family val="1"/>
        <charset val="238"/>
      </rPr>
      <t xml:space="preserve"> din care:  </t>
    </r>
    <r>
      <rPr>
        <b/>
        <sz val="12"/>
        <color theme="1"/>
        <rFont val="Times New Roman"/>
        <family val="1"/>
      </rPr>
      <t xml:space="preserve">      </t>
    </r>
    <r>
      <rPr>
        <b/>
        <sz val="9"/>
        <color theme="1"/>
        <rFont val="Times New Roman"/>
        <family val="1"/>
        <charset val="238"/>
      </rPr>
      <t>rd 1 = rd2+rd3+rd4+rd5+rd6+rd7+rd8=rd9+rd10</t>
    </r>
  </si>
  <si>
    <t>DIRECTOR  GENERAL,</t>
  </si>
  <si>
    <t>DIRECTOR  EXECUTIV  ECONOMIC,</t>
  </si>
  <si>
    <t>CASA  DE  ASIGURĂRI  DE  SĂNĂTATE MEHEDINTI</t>
  </si>
  <si>
    <t>ADRESA: DROBETA-TURNU SEVERIN STR.ANTONINII NR 4 JUD.MEHEDINTI</t>
  </si>
  <si>
    <t>Număr telefon:  0252/328766</t>
  </si>
  <si>
    <t>COD DE ÎNREGISTRARE FISCALĂ:  11317951</t>
  </si>
  <si>
    <t>EC.ALBU DRINA</t>
  </si>
  <si>
    <t>EC.BIRCU FLORINA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</si>
</sst>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 _l_e_i_-;\-* #,##0.00\ _l_e_i_-;_-* &quot;-&quot;??\ _l_e_i_-;_-@_-"/>
    <numFmt numFmtId="165" formatCode="_-* #,##0.00\ _l_e_i_-;\-* #,##0.00\ _l_e_i_-;_-* \-??\ _l_e_i_-;_-@_-"/>
    <numFmt numFmtId="166" formatCode="_(* #,##0.00_);_(* \(#,##0.00\);_(* \-??_);_(@_)"/>
    <numFmt numFmtId="167" formatCode="_(* #,##0_);_(* \(#,##0\);_(* \-??_);_(@_)"/>
    <numFmt numFmtId="168" formatCode="_-* #,##0.00&quot; lei&quot;_-;\-* #,##0.00&quot; lei&quot;_-;_-* \-??&quot; lei&quot;_-;_-@_-"/>
    <numFmt numFmtId="169" formatCode="#,##0.0"/>
    <numFmt numFmtId="170" formatCode="#,##0.00_ ;[Red]\-#,##0.00\ "/>
    <numFmt numFmtId="171" formatCode="0.0"/>
    <numFmt numFmtId="172" formatCode="00000"/>
    <numFmt numFmtId="173" formatCode="dd\ mmm"/>
  </numFmts>
  <fonts count="257">
    <font>
      <sz val="10"/>
      <name val="Arial"/>
    </font>
    <font>
      <sz val="11"/>
      <color theme="1"/>
      <name val="Calibri"/>
      <family val="2"/>
      <charset val="238"/>
      <scheme val="minor"/>
    </font>
    <font>
      <b/>
      <sz val="24"/>
      <color indexed="8"/>
      <name val="Arial"/>
      <family val="2"/>
    </font>
    <font>
      <sz val="18"/>
      <color indexed="8"/>
      <name val="Arial"/>
      <family val="2"/>
    </font>
    <font>
      <sz val="12"/>
      <color indexed="8"/>
      <name val="Arial"/>
      <family val="2"/>
    </font>
    <font>
      <i/>
      <sz val="10"/>
      <color indexed="23"/>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0"/>
      <name val="Arial"/>
      <family val="2"/>
      <charset val="238"/>
    </font>
    <font>
      <sz val="10"/>
      <name val="Arial"/>
      <family val="2"/>
    </font>
    <font>
      <sz val="12"/>
      <name val="Arial"/>
      <family val="2"/>
    </font>
    <font>
      <sz val="11"/>
      <color indexed="8"/>
      <name val="Calibri"/>
      <family val="2"/>
    </font>
    <font>
      <b/>
      <sz val="14"/>
      <name val="Arial"/>
      <family val="2"/>
    </font>
    <font>
      <b/>
      <sz val="11"/>
      <name val="Arial"/>
      <family val="2"/>
      <charset val="238"/>
    </font>
    <font>
      <b/>
      <sz val="12"/>
      <name val="Arial"/>
      <family val="2"/>
      <charset val="238"/>
    </font>
    <font>
      <b/>
      <sz val="12"/>
      <name val="Times New Roman"/>
      <family val="1"/>
      <charset val="238"/>
    </font>
    <font>
      <sz val="12"/>
      <name val="Times New Roman"/>
      <family val="1"/>
    </font>
    <font>
      <b/>
      <sz val="10"/>
      <name val="Times New Roman"/>
      <family val="1"/>
    </font>
    <font>
      <b/>
      <sz val="12"/>
      <name val="Times New Roman"/>
      <family val="1"/>
    </font>
    <font>
      <b/>
      <sz val="8"/>
      <name val="Times New Roman"/>
      <family val="1"/>
    </font>
    <font>
      <b/>
      <sz val="8"/>
      <name val="Arial"/>
      <family val="2"/>
    </font>
    <font>
      <sz val="8"/>
      <name val="Arial"/>
      <family val="2"/>
      <charset val="238"/>
    </font>
    <font>
      <sz val="12"/>
      <name val="Times New Roman"/>
      <family val="1"/>
      <charset val="238"/>
    </font>
    <font>
      <b/>
      <sz val="11"/>
      <name val="Arial"/>
      <family val="2"/>
    </font>
    <font>
      <sz val="11"/>
      <name val="Arial"/>
      <family val="2"/>
    </font>
    <font>
      <b/>
      <sz val="14"/>
      <color indexed="10"/>
      <name val="Arial"/>
      <family val="2"/>
    </font>
    <font>
      <b/>
      <sz val="12"/>
      <name val="Arial"/>
      <family val="2"/>
    </font>
    <font>
      <b/>
      <sz val="14"/>
      <color indexed="9"/>
      <name val="Arial"/>
      <family val="2"/>
    </font>
    <font>
      <b/>
      <sz val="10"/>
      <name val="Arial"/>
      <family val="2"/>
    </font>
    <font>
      <sz val="11"/>
      <name val="Arial"/>
      <family val="2"/>
      <charset val="238"/>
    </font>
    <font>
      <i/>
      <sz val="10"/>
      <name val="Arial"/>
      <family val="2"/>
    </font>
    <font>
      <sz val="12"/>
      <color indexed="10"/>
      <name val="Times New Roman"/>
      <family val="1"/>
    </font>
    <font>
      <b/>
      <sz val="9"/>
      <color indexed="8"/>
      <name val="Tahoma"/>
      <family val="2"/>
    </font>
    <font>
      <sz val="9"/>
      <color indexed="8"/>
      <name val="Tahoma"/>
      <family val="2"/>
    </font>
    <font>
      <sz val="11"/>
      <name val="Cambria"/>
      <family val="1"/>
    </font>
    <font>
      <sz val="10"/>
      <name val="Times New Roman"/>
      <family val="1"/>
    </font>
    <font>
      <b/>
      <sz val="11"/>
      <name val="Cambria"/>
      <family val="1"/>
    </font>
    <font>
      <sz val="11"/>
      <color indexed="8"/>
      <name val="Arial"/>
      <family val="2"/>
    </font>
    <font>
      <b/>
      <sz val="10"/>
      <name val="Arial"/>
      <family val="2"/>
      <charset val="238"/>
    </font>
    <font>
      <b/>
      <sz val="10"/>
      <name val="Times New Roman"/>
      <family val="1"/>
      <charset val="238"/>
    </font>
    <font>
      <sz val="12"/>
      <color indexed="9"/>
      <name val="Arial"/>
      <family val="2"/>
    </font>
    <font>
      <sz val="8"/>
      <name val="Arial"/>
      <family val="2"/>
    </font>
    <font>
      <sz val="10"/>
      <color indexed="9"/>
      <name val="Arial"/>
      <family val="2"/>
    </font>
    <font>
      <b/>
      <sz val="12"/>
      <color indexed="9"/>
      <name val="Arial"/>
      <family val="2"/>
    </font>
    <font>
      <b/>
      <sz val="11"/>
      <color indexed="9"/>
      <name val="Times New Roman"/>
      <family val="1"/>
      <charset val="238"/>
    </font>
    <font>
      <b/>
      <sz val="8"/>
      <name val="Arial"/>
      <family val="2"/>
      <charset val="238"/>
    </font>
    <font>
      <b/>
      <sz val="7"/>
      <name val="Arial"/>
      <family val="2"/>
      <charset val="238"/>
    </font>
    <font>
      <b/>
      <sz val="14"/>
      <color indexed="10"/>
      <name val="Arial"/>
      <family val="2"/>
      <charset val="238"/>
    </font>
    <font>
      <b/>
      <sz val="9"/>
      <color indexed="8"/>
      <name val="Tahoma"/>
      <family val="2"/>
      <charset val="238"/>
    </font>
    <font>
      <sz val="9"/>
      <color indexed="8"/>
      <name val="Tahoma"/>
      <family val="2"/>
      <charset val="238"/>
    </font>
    <font>
      <b/>
      <sz val="11"/>
      <color indexed="10"/>
      <name val="Arial"/>
      <family val="2"/>
    </font>
    <font>
      <b/>
      <sz val="12"/>
      <color indexed="8"/>
      <name val="Arial"/>
      <family val="2"/>
    </font>
    <font>
      <sz val="11"/>
      <name val="RomHelvetica"/>
    </font>
    <font>
      <b/>
      <sz val="9"/>
      <name val="Arial"/>
      <family val="2"/>
    </font>
    <font>
      <sz val="11"/>
      <name val="RomHelvetica"/>
      <charset val="238"/>
    </font>
    <font>
      <sz val="14"/>
      <name val="Arial"/>
      <family val="2"/>
    </font>
    <font>
      <sz val="12"/>
      <name val="Arial"/>
      <family val="2"/>
      <charset val="238"/>
    </font>
    <font>
      <sz val="11"/>
      <color indexed="8"/>
      <name val="Arial"/>
      <family val="2"/>
      <charset val="238"/>
    </font>
    <font>
      <b/>
      <sz val="11"/>
      <color indexed="8"/>
      <name val="Arial"/>
      <family val="2"/>
      <charset val="238"/>
    </font>
    <font>
      <b/>
      <i/>
      <u/>
      <sz val="11"/>
      <name val="Arial"/>
      <family val="2"/>
      <charset val="238"/>
    </font>
    <font>
      <b/>
      <i/>
      <sz val="11"/>
      <name val="Arial"/>
      <family val="2"/>
      <charset val="238"/>
    </font>
    <font>
      <i/>
      <sz val="11"/>
      <name val="Arial"/>
      <family val="2"/>
      <charset val="238"/>
    </font>
    <font>
      <b/>
      <i/>
      <sz val="12"/>
      <name val="Arial"/>
      <family val="2"/>
      <charset val="238"/>
    </font>
    <font>
      <b/>
      <i/>
      <sz val="11"/>
      <color indexed="8"/>
      <name val="Arial"/>
      <family val="2"/>
      <charset val="238"/>
    </font>
    <font>
      <i/>
      <sz val="11"/>
      <color indexed="8"/>
      <name val="Arial"/>
      <family val="2"/>
      <charset val="238"/>
    </font>
    <font>
      <sz val="11"/>
      <color indexed="9"/>
      <name val="Arial"/>
      <family val="2"/>
    </font>
    <font>
      <b/>
      <sz val="10"/>
      <color indexed="10"/>
      <name val="Arial"/>
      <family val="2"/>
    </font>
    <font>
      <b/>
      <sz val="10"/>
      <name val="RomHelvetica"/>
      <charset val="238"/>
    </font>
    <font>
      <b/>
      <sz val="9"/>
      <color indexed="8"/>
      <name val="Arial"/>
      <family val="2"/>
    </font>
    <font>
      <sz val="9"/>
      <name val="Arial"/>
      <family val="2"/>
      <charset val="238"/>
    </font>
    <font>
      <sz val="10"/>
      <color indexed="8"/>
      <name val="Arial"/>
      <family val="2"/>
      <charset val="238"/>
    </font>
    <font>
      <sz val="9"/>
      <name val="Arial"/>
      <family val="2"/>
    </font>
    <font>
      <sz val="9"/>
      <color indexed="8"/>
      <name val="Arial"/>
      <family val="2"/>
    </font>
    <font>
      <sz val="10"/>
      <color indexed="8"/>
      <name val="Arial"/>
      <family val="2"/>
    </font>
    <font>
      <sz val="10"/>
      <name val="Times New Roman CE"/>
    </font>
    <font>
      <sz val="9"/>
      <name val="Times New Roman CE"/>
    </font>
    <font>
      <b/>
      <sz val="9"/>
      <name val="Arial"/>
      <family val="2"/>
      <charset val="238"/>
    </font>
    <font>
      <sz val="11"/>
      <color indexed="10"/>
      <name val="Arial"/>
      <family val="2"/>
    </font>
    <font>
      <b/>
      <sz val="8"/>
      <color indexed="10"/>
      <name val="Arial"/>
      <family val="2"/>
    </font>
    <font>
      <b/>
      <sz val="12"/>
      <color indexed="9"/>
      <name val="Arial"/>
      <family val="2"/>
      <charset val="238"/>
    </font>
    <font>
      <sz val="8"/>
      <color indexed="8"/>
      <name val="Arial"/>
      <family val="2"/>
    </font>
    <font>
      <b/>
      <sz val="10"/>
      <color indexed="8"/>
      <name val="Arial"/>
      <family val="2"/>
    </font>
    <font>
      <b/>
      <sz val="8"/>
      <color indexed="8"/>
      <name val="Arial"/>
      <family val="2"/>
    </font>
    <font>
      <b/>
      <sz val="11"/>
      <color indexed="8"/>
      <name val="Arial"/>
      <family val="2"/>
    </font>
    <font>
      <b/>
      <sz val="10"/>
      <color indexed="9"/>
      <name val="Arial"/>
      <family val="2"/>
    </font>
    <font>
      <sz val="10"/>
      <color indexed="9"/>
      <name val="Times New Roman"/>
      <family val="1"/>
      <charset val="238"/>
    </font>
    <font>
      <sz val="11"/>
      <name val="Times New Roman"/>
      <family val="1"/>
    </font>
    <font>
      <sz val="9"/>
      <name val="Times New Roman"/>
      <family val="1"/>
    </font>
    <font>
      <b/>
      <sz val="12"/>
      <color indexed="10"/>
      <name val="Arial"/>
      <family val="2"/>
      <charset val="238"/>
    </font>
    <font>
      <b/>
      <sz val="12"/>
      <color indexed="10"/>
      <name val="Arial"/>
      <family val="2"/>
    </font>
    <font>
      <sz val="8"/>
      <name val="Times New Roman"/>
      <family val="1"/>
    </font>
    <font>
      <sz val="7"/>
      <name val="Arial"/>
      <family val="2"/>
    </font>
    <font>
      <b/>
      <sz val="9"/>
      <color indexed="10"/>
      <name val="Arial"/>
      <family val="2"/>
    </font>
    <font>
      <sz val="14"/>
      <color indexed="9"/>
      <name val="Arial"/>
      <family val="2"/>
    </font>
    <font>
      <b/>
      <sz val="14"/>
      <color indexed="10"/>
      <name val="Times New Roman"/>
      <family val="1"/>
    </font>
    <font>
      <sz val="12"/>
      <name val="TimesRomanR"/>
    </font>
    <font>
      <b/>
      <sz val="12"/>
      <name val="TimesRomanR"/>
    </font>
    <font>
      <b/>
      <sz val="12"/>
      <name val="TimesRomanR"/>
      <charset val="238"/>
    </font>
    <font>
      <sz val="10"/>
      <name val="TimesRomanR"/>
    </font>
    <font>
      <sz val="11"/>
      <name val="TimesRomanR"/>
      <charset val="238"/>
    </font>
    <font>
      <b/>
      <sz val="11"/>
      <name val="Times New Roman"/>
      <family val="1"/>
      <charset val="238"/>
    </font>
    <font>
      <sz val="10"/>
      <color indexed="10"/>
      <name val="Arial"/>
      <family val="2"/>
    </font>
    <font>
      <sz val="11"/>
      <name val="Times New Roman"/>
      <family val="1"/>
      <charset val="238"/>
    </font>
    <font>
      <sz val="10"/>
      <name val="Times New Roman"/>
      <family val="1"/>
      <charset val="238"/>
    </font>
    <font>
      <sz val="10"/>
      <color indexed="8"/>
      <name val="Times New Roman"/>
      <family val="1"/>
    </font>
    <font>
      <sz val="8"/>
      <color indexed="8"/>
      <name val="Calibri"/>
      <family val="2"/>
    </font>
    <font>
      <sz val="10"/>
      <color indexed="8"/>
      <name val="Times New Roman"/>
      <family val="1"/>
      <charset val="238"/>
    </font>
    <font>
      <b/>
      <sz val="11"/>
      <color indexed="8"/>
      <name val="Calibri"/>
      <family val="2"/>
    </font>
    <font>
      <sz val="12"/>
      <color indexed="8"/>
      <name val="Calibri"/>
      <family val="2"/>
    </font>
    <font>
      <b/>
      <sz val="12"/>
      <color indexed="8"/>
      <name val="Arial"/>
      <family val="2"/>
      <charset val="238"/>
    </font>
    <font>
      <b/>
      <sz val="16"/>
      <name val="Cambria"/>
      <family val="1"/>
    </font>
    <font>
      <b/>
      <sz val="16"/>
      <color indexed="10"/>
      <name val="Cambria"/>
      <family val="1"/>
    </font>
    <font>
      <b/>
      <sz val="8"/>
      <name val="RomHelvetica"/>
      <charset val="238"/>
    </font>
    <font>
      <b/>
      <sz val="7"/>
      <color indexed="10"/>
      <name val="Arial"/>
      <family val="2"/>
    </font>
    <font>
      <b/>
      <sz val="7"/>
      <name val="Arial"/>
      <family val="2"/>
    </font>
    <font>
      <sz val="14"/>
      <color indexed="10"/>
      <name val="Arial"/>
      <family val="2"/>
    </font>
    <font>
      <b/>
      <sz val="12"/>
      <color indexed="10"/>
      <name val="Times New Roman"/>
      <family val="1"/>
    </font>
    <font>
      <b/>
      <sz val="14"/>
      <name val="Arial"/>
      <family val="2"/>
      <charset val="238"/>
    </font>
    <font>
      <b/>
      <sz val="10"/>
      <color indexed="10"/>
      <name val="Arial"/>
      <family val="2"/>
      <charset val="238"/>
    </font>
    <font>
      <b/>
      <sz val="10"/>
      <color indexed="8"/>
      <name val="Arial"/>
      <family val="2"/>
      <charset val="238"/>
    </font>
    <font>
      <b/>
      <i/>
      <sz val="10"/>
      <name val="Arial"/>
      <family val="2"/>
      <charset val="238"/>
    </font>
    <font>
      <b/>
      <i/>
      <sz val="10"/>
      <name val="Arial"/>
      <family val="2"/>
    </font>
    <font>
      <sz val="9"/>
      <color indexed="9"/>
      <name val="Arial"/>
      <family val="2"/>
    </font>
    <font>
      <i/>
      <sz val="10"/>
      <name val="Arial"/>
      <family val="2"/>
      <charset val="238"/>
    </font>
    <font>
      <b/>
      <sz val="10"/>
      <color indexed="9"/>
      <name val="Arial"/>
      <family val="2"/>
      <charset val="238"/>
    </font>
    <font>
      <sz val="6"/>
      <name val="Arial"/>
      <family val="2"/>
      <charset val="238"/>
    </font>
    <font>
      <sz val="10"/>
      <color indexed="9"/>
      <name val="Arial"/>
      <family val="2"/>
      <charset val="238"/>
    </font>
    <font>
      <b/>
      <sz val="9"/>
      <color indexed="8"/>
      <name val="Arial"/>
      <family val="2"/>
      <charset val="238"/>
    </font>
    <font>
      <sz val="9"/>
      <color indexed="8"/>
      <name val="Arial"/>
      <family val="2"/>
      <charset val="238"/>
    </font>
    <font>
      <sz val="10"/>
      <name val="Arial"/>
      <family val="2"/>
    </font>
    <font>
      <b/>
      <i/>
      <sz val="9"/>
      <name val="Arial"/>
      <family val="2"/>
      <charset val="238"/>
    </font>
    <font>
      <b/>
      <i/>
      <sz val="8"/>
      <name val="Arial"/>
      <family val="2"/>
      <charset val="238"/>
    </font>
    <font>
      <sz val="12"/>
      <color indexed="9"/>
      <name val="Arial"/>
      <family val="2"/>
      <charset val="238"/>
    </font>
    <font>
      <sz val="9"/>
      <color indexed="81"/>
      <name val="Tahoma"/>
      <family val="2"/>
      <charset val="238"/>
    </font>
    <font>
      <b/>
      <sz val="9"/>
      <color indexed="81"/>
      <name val="Tahoma"/>
      <family val="2"/>
      <charset val="238"/>
    </font>
    <font>
      <b/>
      <sz val="10"/>
      <name val="Times New Roman CE"/>
    </font>
    <font>
      <sz val="10"/>
      <color indexed="8"/>
      <name val="Arial"/>
      <family val="2"/>
      <charset val="238"/>
    </font>
    <font>
      <b/>
      <sz val="24"/>
      <color indexed="10"/>
      <name val="Arial"/>
      <family val="2"/>
      <charset val="238"/>
    </font>
    <font>
      <sz val="12"/>
      <color indexed="8"/>
      <name val="Arial"/>
      <family val="2"/>
    </font>
    <font>
      <sz val="11"/>
      <color indexed="10"/>
      <name val="Arial"/>
      <family val="2"/>
      <charset val="238"/>
    </font>
    <font>
      <b/>
      <sz val="14"/>
      <color indexed="9"/>
      <name val="Arial"/>
      <family val="2"/>
    </font>
    <font>
      <b/>
      <sz val="11"/>
      <color indexed="10"/>
      <name val="Arial"/>
      <family val="2"/>
    </font>
    <font>
      <sz val="10"/>
      <color indexed="8"/>
      <name val="Arial"/>
      <family val="2"/>
    </font>
    <font>
      <b/>
      <sz val="12"/>
      <color indexed="8"/>
      <name val="Arial"/>
      <family val="2"/>
      <charset val="238"/>
    </font>
    <font>
      <b/>
      <sz val="10"/>
      <color indexed="8"/>
      <name val="Arial"/>
      <family val="2"/>
      <charset val="238"/>
    </font>
    <font>
      <b/>
      <sz val="11"/>
      <color indexed="8"/>
      <name val="Arial"/>
      <family val="2"/>
      <charset val="238"/>
    </font>
    <font>
      <sz val="8"/>
      <color indexed="8"/>
      <name val="Arial"/>
      <family val="2"/>
      <charset val="238"/>
    </font>
    <font>
      <b/>
      <sz val="8"/>
      <color indexed="8"/>
      <name val="Tahoma"/>
      <family val="2"/>
      <charset val="238"/>
    </font>
    <font>
      <sz val="10"/>
      <color indexed="8"/>
      <name val="Times New Roman"/>
      <family val="1"/>
    </font>
    <font>
      <b/>
      <sz val="6"/>
      <name val="Arial"/>
      <family val="2"/>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sz val="12"/>
      <color theme="0"/>
      <name val="Arial"/>
      <family val="2"/>
      <charset val="238"/>
    </font>
    <font>
      <sz val="12"/>
      <color theme="1"/>
      <name val="Arial"/>
      <family val="2"/>
      <charset val="238"/>
    </font>
    <font>
      <sz val="12"/>
      <color theme="1"/>
      <name val="Times New Roman"/>
      <family val="1"/>
    </font>
    <font>
      <b/>
      <sz val="12"/>
      <color theme="1"/>
      <name val="Times New Roman"/>
      <family val="1"/>
    </font>
    <font>
      <b/>
      <sz val="14"/>
      <color theme="1"/>
      <name val="Times New Roman"/>
      <family val="1"/>
    </font>
    <font>
      <b/>
      <i/>
      <sz val="12"/>
      <name val="Arial"/>
      <family val="2"/>
    </font>
    <font>
      <b/>
      <sz val="11"/>
      <color rgb="FFFF0000"/>
      <name val="Arial"/>
      <family val="2"/>
    </font>
    <font>
      <sz val="10"/>
      <color rgb="FFFF0000"/>
      <name val="Arial"/>
      <family val="2"/>
    </font>
    <font>
      <sz val="11"/>
      <color theme="1"/>
      <name val="Calibri"/>
      <family val="2"/>
      <scheme val="minor"/>
    </font>
    <font>
      <b/>
      <sz val="11"/>
      <color theme="0"/>
      <name val="Arial"/>
      <family val="2"/>
    </font>
    <font>
      <b/>
      <sz val="14"/>
      <color theme="0"/>
      <name val="Arial"/>
      <family val="2"/>
    </font>
    <font>
      <i/>
      <sz val="10"/>
      <color theme="1"/>
      <name val="Arial"/>
      <family val="2"/>
    </font>
    <font>
      <i/>
      <sz val="10"/>
      <color theme="1"/>
      <name val="Arial"/>
      <family val="2"/>
      <charset val="238"/>
    </font>
    <font>
      <b/>
      <sz val="14"/>
      <color indexed="10"/>
      <name val="Arial"/>
      <family val="2"/>
      <charset val="1"/>
    </font>
    <font>
      <b/>
      <sz val="12"/>
      <color rgb="FFFF0000"/>
      <name val="Arial"/>
      <family val="2"/>
    </font>
    <font>
      <sz val="12"/>
      <color rgb="FFFF0000"/>
      <name val="Arial"/>
      <family val="2"/>
    </font>
    <font>
      <b/>
      <sz val="8"/>
      <color theme="1"/>
      <name val="Arial"/>
      <family val="2"/>
      <charset val="238"/>
    </font>
    <font>
      <b/>
      <sz val="9"/>
      <name val="Times New Roman"/>
      <family val="1"/>
      <charset val="238"/>
    </font>
    <font>
      <b/>
      <sz val="9"/>
      <color indexed="9"/>
      <name val="Times New Roman"/>
      <family val="1"/>
      <charset val="238"/>
    </font>
    <font>
      <b/>
      <sz val="11"/>
      <color indexed="9"/>
      <name val="Arial"/>
      <family val="2"/>
    </font>
    <font>
      <sz val="11"/>
      <color theme="1"/>
      <name val="Arial"/>
      <family val="2"/>
    </font>
    <font>
      <b/>
      <sz val="11"/>
      <color theme="1"/>
      <name val="Arial"/>
      <family val="2"/>
    </font>
    <font>
      <b/>
      <sz val="12"/>
      <color theme="1"/>
      <name val="Arial"/>
      <family val="2"/>
    </font>
    <font>
      <sz val="10"/>
      <color theme="1"/>
      <name val="Calibri"/>
      <family val="2"/>
      <scheme val="minor"/>
    </font>
    <font>
      <b/>
      <sz val="10"/>
      <color theme="1"/>
      <name val="Calibri"/>
      <family val="2"/>
      <charset val="238"/>
      <scheme val="minor"/>
    </font>
    <font>
      <b/>
      <sz val="10"/>
      <color theme="1"/>
      <name val="Arial"/>
      <family val="2"/>
    </font>
    <font>
      <sz val="10"/>
      <color theme="1"/>
      <name val="Arial"/>
      <family val="2"/>
    </font>
    <font>
      <b/>
      <i/>
      <sz val="11"/>
      <name val="Arial"/>
      <family val="2"/>
    </font>
    <font>
      <b/>
      <sz val="10"/>
      <color theme="0"/>
      <name val="Arial"/>
      <family val="2"/>
      <charset val="238"/>
    </font>
    <font>
      <sz val="10"/>
      <name val="Arial"/>
      <family val="2"/>
      <charset val="238"/>
    </font>
    <font>
      <b/>
      <sz val="11"/>
      <color rgb="FFFF0000"/>
      <name val="Arial"/>
      <family val="2"/>
      <charset val="238"/>
    </font>
    <font>
      <b/>
      <sz val="16"/>
      <color rgb="FFFF0000"/>
      <name val="Arial"/>
      <family val="2"/>
      <charset val="238"/>
    </font>
    <font>
      <b/>
      <sz val="10"/>
      <color rgb="FFFF0000"/>
      <name val="Arial"/>
      <family val="2"/>
    </font>
    <font>
      <sz val="10"/>
      <name val="Arial"/>
      <family val="2"/>
      <charset val="238"/>
    </font>
    <font>
      <b/>
      <i/>
      <sz val="14"/>
      <name val="Times New Roman"/>
      <family val="1"/>
      <charset val="238"/>
    </font>
    <font>
      <b/>
      <i/>
      <sz val="10"/>
      <name val="Times New Roman"/>
      <family val="1"/>
      <charset val="238"/>
    </font>
    <font>
      <i/>
      <sz val="10"/>
      <name val="Times New Roman"/>
      <family val="1"/>
      <charset val="238"/>
    </font>
    <font>
      <b/>
      <i/>
      <sz val="11"/>
      <name val="Times New Roman"/>
      <family val="1"/>
      <charset val="238"/>
    </font>
    <font>
      <b/>
      <sz val="10"/>
      <color indexed="8"/>
      <name val="Times New Roman"/>
      <family val="1"/>
      <charset val="238"/>
    </font>
    <font>
      <sz val="10"/>
      <color theme="0"/>
      <name val="Arial"/>
      <family val="2"/>
    </font>
    <font>
      <sz val="14"/>
      <color theme="1"/>
      <name val="Calibri"/>
      <family val="2"/>
      <scheme val="minor"/>
    </font>
    <font>
      <b/>
      <sz val="14"/>
      <color rgb="FFFF0000"/>
      <name val="Calibri"/>
      <family val="2"/>
      <scheme val="minor"/>
    </font>
    <font>
      <i/>
      <sz val="11"/>
      <name val="Arial"/>
      <family val="2"/>
    </font>
    <font>
      <b/>
      <sz val="11"/>
      <color indexed="10"/>
      <name val="Arial"/>
      <family val="2"/>
      <charset val="238"/>
    </font>
    <font>
      <b/>
      <sz val="11"/>
      <name val="Times New Roman"/>
      <family val="1"/>
    </font>
    <font>
      <b/>
      <sz val="14"/>
      <color rgb="FFF2DCDB"/>
      <name val="Arial"/>
      <family val="2"/>
    </font>
    <font>
      <b/>
      <sz val="14"/>
      <color rgb="FFF2DCDB"/>
      <name val="Arial"/>
      <family val="2"/>
      <charset val="238"/>
    </font>
    <font>
      <i/>
      <sz val="8"/>
      <name val="Arial"/>
      <family val="2"/>
      <charset val="238"/>
    </font>
    <font>
      <i/>
      <sz val="12"/>
      <name val="Arial"/>
      <family val="2"/>
      <charset val="238"/>
    </font>
    <font>
      <i/>
      <sz val="9"/>
      <name val="Arial"/>
      <family val="2"/>
      <charset val="238"/>
    </font>
    <font>
      <b/>
      <i/>
      <sz val="7"/>
      <color indexed="10"/>
      <name val="Arial"/>
      <family val="2"/>
      <charset val="238"/>
    </font>
    <font>
      <b/>
      <sz val="10"/>
      <name val="Palatino Linotype"/>
      <family val="1"/>
      <charset val="238"/>
    </font>
    <font>
      <b/>
      <i/>
      <sz val="10"/>
      <name val="Palatino Linotype"/>
      <family val="1"/>
      <charset val="238"/>
    </font>
    <font>
      <b/>
      <sz val="11"/>
      <name val="Palatino Linotype"/>
      <family val="1"/>
      <charset val="238"/>
    </font>
    <font>
      <sz val="9"/>
      <name val="Palatino Linotype"/>
      <family val="1"/>
      <charset val="238"/>
    </font>
    <font>
      <b/>
      <sz val="9"/>
      <color theme="0"/>
      <name val="Arial"/>
      <family val="2"/>
      <charset val="238"/>
    </font>
    <font>
      <b/>
      <sz val="12"/>
      <color theme="1"/>
      <name val="Arial"/>
      <family val="2"/>
      <charset val="238"/>
    </font>
    <font>
      <b/>
      <i/>
      <sz val="10"/>
      <color theme="1"/>
      <name val="Arial"/>
      <family val="2"/>
      <charset val="238"/>
    </font>
    <font>
      <b/>
      <sz val="16"/>
      <color indexed="10"/>
      <name val="Arial"/>
      <family val="2"/>
    </font>
    <font>
      <b/>
      <sz val="9"/>
      <name val="RomHelvetica"/>
      <charset val="238"/>
    </font>
    <font>
      <b/>
      <sz val="11"/>
      <color theme="1"/>
      <name val="Times New Roman"/>
      <family val="1"/>
    </font>
    <font>
      <sz val="14"/>
      <name val="Arial"/>
      <family val="2"/>
      <charset val="238"/>
    </font>
    <font>
      <b/>
      <sz val="14"/>
      <color rgb="FFFF0000"/>
      <name val="Arial"/>
      <family val="2"/>
      <charset val="238"/>
    </font>
    <font>
      <sz val="12"/>
      <color theme="0"/>
      <name val="Arial"/>
      <family val="2"/>
    </font>
    <font>
      <b/>
      <sz val="12"/>
      <color theme="0"/>
      <name val="Arial"/>
      <family val="2"/>
    </font>
    <font>
      <b/>
      <sz val="10"/>
      <name val="TimesRomanR"/>
      <charset val="238"/>
    </font>
    <font>
      <b/>
      <sz val="9"/>
      <color indexed="8"/>
      <name val="Times New Roman"/>
      <family val="1"/>
    </font>
    <font>
      <b/>
      <sz val="16"/>
      <color indexed="10"/>
      <name val="Arial"/>
      <family val="2"/>
      <charset val="238"/>
    </font>
    <font>
      <b/>
      <sz val="16"/>
      <color indexed="8"/>
      <name val="Arial"/>
      <family val="2"/>
      <charset val="238"/>
    </font>
    <font>
      <sz val="9"/>
      <color indexed="8"/>
      <name val="Times New Roman"/>
      <family val="1"/>
      <charset val="238"/>
    </font>
    <font>
      <sz val="6"/>
      <name val="Arial"/>
      <family val="2"/>
    </font>
    <font>
      <b/>
      <sz val="11"/>
      <color rgb="FFF2DCDB"/>
      <name val="Arial"/>
      <family val="2"/>
      <charset val="238"/>
    </font>
    <font>
      <b/>
      <sz val="14"/>
      <color rgb="FFFF0000"/>
      <name val="Arial"/>
      <family val="2"/>
    </font>
    <font>
      <b/>
      <i/>
      <sz val="12"/>
      <name val="Times New Roman"/>
      <family val="1"/>
      <charset val="238"/>
    </font>
    <font>
      <b/>
      <sz val="8"/>
      <color indexed="10"/>
      <name val="Arial"/>
      <family val="2"/>
      <charset val="238"/>
    </font>
    <font>
      <sz val="10"/>
      <color rgb="FFFF0000"/>
      <name val="Arial"/>
      <family val="2"/>
      <charset val="238"/>
    </font>
    <font>
      <sz val="9"/>
      <color indexed="81"/>
      <name val="Tahoma"/>
      <family val="2"/>
    </font>
    <font>
      <b/>
      <sz val="9"/>
      <color indexed="81"/>
      <name val="Tahoma"/>
      <family val="2"/>
    </font>
    <font>
      <b/>
      <sz val="14"/>
      <color theme="3" tint="0.79998168889431442"/>
      <name val="Arial"/>
      <family val="2"/>
      <charset val="238"/>
    </font>
    <font>
      <b/>
      <sz val="8"/>
      <color indexed="8"/>
      <name val="Arial"/>
      <family val="2"/>
      <charset val="238"/>
    </font>
    <font>
      <b/>
      <sz val="14"/>
      <color theme="2"/>
      <name val="Arial"/>
      <family val="2"/>
    </font>
    <font>
      <b/>
      <sz val="14"/>
      <color theme="5" tint="0.79998168889431442"/>
      <name val="Arial"/>
      <family val="2"/>
    </font>
    <font>
      <sz val="11"/>
      <color indexed="9"/>
      <name val="Arial"/>
      <family val="2"/>
      <charset val="238"/>
    </font>
    <font>
      <sz val="7"/>
      <name val="Arial"/>
      <family val="2"/>
      <charset val="238"/>
    </font>
    <font>
      <b/>
      <i/>
      <sz val="8"/>
      <name val="Arial"/>
      <family val="2"/>
    </font>
    <font>
      <sz val="7"/>
      <color indexed="8"/>
      <name val="Arial"/>
      <family val="2"/>
    </font>
    <font>
      <sz val="9"/>
      <color indexed="8"/>
      <name val="Times New Roman"/>
      <family val="1"/>
    </font>
    <font>
      <b/>
      <sz val="11"/>
      <color indexed="8"/>
      <name val="Calibri"/>
      <family val="2"/>
      <charset val="238"/>
    </font>
    <font>
      <b/>
      <i/>
      <sz val="10"/>
      <color indexed="8"/>
      <name val="Arial"/>
      <family val="2"/>
      <charset val="238"/>
    </font>
    <font>
      <b/>
      <sz val="10"/>
      <color indexed="10"/>
      <name val="Cambria"/>
      <family val="1"/>
    </font>
    <font>
      <b/>
      <sz val="10"/>
      <color theme="1"/>
      <name val="Times New Roman"/>
      <family val="1"/>
    </font>
    <font>
      <b/>
      <sz val="11"/>
      <color theme="1"/>
      <name val="Times New Roman"/>
      <family val="1"/>
      <charset val="238"/>
    </font>
    <font>
      <b/>
      <sz val="10"/>
      <color theme="1"/>
      <name val="Times New Roman"/>
      <family val="1"/>
      <charset val="238"/>
    </font>
    <font>
      <b/>
      <sz val="9"/>
      <color theme="1"/>
      <name val="Times New Roman"/>
      <family val="1"/>
      <charset val="238"/>
    </font>
    <font>
      <b/>
      <sz val="12"/>
      <color rgb="FFFF0000"/>
      <name val="Arial"/>
      <family val="2"/>
      <charset val="238"/>
    </font>
    <font>
      <b/>
      <sz val="9"/>
      <color theme="1"/>
      <name val="Times New Roman"/>
      <family val="1"/>
    </font>
    <font>
      <b/>
      <sz val="12"/>
      <color theme="1"/>
      <name val="Times New Roman"/>
      <family val="1"/>
      <charset val="238"/>
    </font>
  </fonts>
  <fills count="33">
    <fill>
      <patternFill patternType="none"/>
    </fill>
    <fill>
      <patternFill patternType="gray125"/>
    </fill>
    <fill>
      <patternFill patternType="solid">
        <fgColor indexed="26"/>
      </patternFill>
    </fill>
    <fill>
      <patternFill patternType="solid">
        <fgColor indexed="8"/>
        <bgColor indexed="58"/>
      </patternFill>
    </fill>
    <fill>
      <patternFill patternType="solid">
        <fgColor indexed="23"/>
        <bgColor indexed="55"/>
      </patternFill>
    </fill>
    <fill>
      <patternFill patternType="solid">
        <fgColor indexed="31"/>
        <bgColor indexed="41"/>
      </patternFill>
    </fill>
    <fill>
      <patternFill patternType="solid">
        <fgColor indexed="41"/>
        <bgColor indexed="47"/>
      </patternFill>
    </fill>
    <fill>
      <patternFill patternType="solid">
        <fgColor indexed="42"/>
        <bgColor indexed="27"/>
      </patternFill>
    </fill>
    <fill>
      <patternFill patternType="solid">
        <fgColor indexed="16"/>
        <bgColor indexed="10"/>
      </patternFill>
    </fill>
    <fill>
      <patternFill patternType="solid">
        <fgColor indexed="26"/>
        <bgColor indexed="9"/>
      </patternFill>
    </fill>
    <fill>
      <patternFill patternType="solid">
        <fgColor indexed="47"/>
        <bgColor indexed="41"/>
      </patternFill>
    </fill>
    <fill>
      <patternFill patternType="solid">
        <fgColor indexed="27"/>
        <bgColor indexed="42"/>
      </patternFill>
    </fill>
    <fill>
      <patternFill patternType="solid">
        <fgColor indexed="9"/>
        <bgColor indexed="26"/>
      </patternFill>
    </fill>
    <fill>
      <patternFill patternType="solid">
        <fgColor indexed="9"/>
        <bgColor indexed="64"/>
      </patternFill>
    </fill>
    <fill>
      <patternFill patternType="solid">
        <fgColor indexed="47"/>
        <bgColor indexed="26"/>
      </patternFill>
    </fill>
    <fill>
      <patternFill patternType="solid">
        <fgColor rgb="FFCCFFCC"/>
        <bgColor indexed="27"/>
      </patternFill>
    </fill>
    <fill>
      <patternFill patternType="solid">
        <fgColor rgb="FFCCFFCC"/>
        <bgColor indexed="64"/>
      </patternFill>
    </fill>
    <fill>
      <patternFill patternType="solid">
        <fgColor theme="3" tint="0.79998168889431442"/>
        <bgColor indexed="64"/>
      </patternFill>
    </fill>
    <fill>
      <patternFill patternType="solid">
        <fgColor rgb="FFF2DCDB"/>
        <bgColor indexed="41"/>
      </patternFill>
    </fill>
    <fill>
      <patternFill patternType="solid">
        <fgColor rgb="FFF2DCDB"/>
        <bgColor indexed="51"/>
      </patternFill>
    </fill>
    <fill>
      <patternFill patternType="solid">
        <fgColor rgb="FFCCFFCC"/>
        <bgColor indexed="26"/>
      </patternFill>
    </fill>
    <fill>
      <patternFill patternType="solid">
        <fgColor rgb="FFF2DCDB"/>
        <bgColor indexed="27"/>
      </patternFill>
    </fill>
    <fill>
      <patternFill patternType="solid">
        <fgColor rgb="FFF2DCDB"/>
        <bgColor indexed="64"/>
      </patternFill>
    </fill>
    <fill>
      <patternFill patternType="solid">
        <fgColor rgb="FFFFC000"/>
        <bgColor indexed="64"/>
      </patternFill>
    </fill>
    <fill>
      <patternFill patternType="solid">
        <fgColor rgb="FFFFCC99"/>
        <bgColor indexed="64"/>
      </patternFill>
    </fill>
    <fill>
      <patternFill patternType="solid">
        <fgColor theme="5" tint="0.79998168889431442"/>
        <bgColor indexed="64"/>
      </patternFill>
    </fill>
    <fill>
      <patternFill patternType="solid">
        <fgColor theme="2" tint="-0.249977111117893"/>
        <bgColor indexed="21"/>
      </patternFill>
    </fill>
    <fill>
      <patternFill patternType="solid">
        <fgColor rgb="FF92D050"/>
        <bgColor indexed="64"/>
      </patternFill>
    </fill>
    <fill>
      <patternFill patternType="solid">
        <fgColor theme="0"/>
        <bgColor indexed="64"/>
      </patternFill>
    </fill>
    <fill>
      <patternFill patternType="solid">
        <fgColor theme="0"/>
        <bgColor indexed="26"/>
      </patternFill>
    </fill>
    <fill>
      <patternFill patternType="solid">
        <fgColor theme="4" tint="0.79998168889431442"/>
        <bgColor indexed="64"/>
      </patternFill>
    </fill>
    <fill>
      <patternFill patternType="solid">
        <fgColor rgb="FFFFFF00"/>
        <bgColor indexed="64"/>
      </patternFill>
    </fill>
    <fill>
      <patternFill patternType="solid">
        <fgColor theme="2"/>
        <bgColor indexed="41"/>
      </patternFill>
    </fill>
  </fills>
  <borders count="418">
    <border>
      <left/>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thin">
        <color indexed="8"/>
      </bottom>
      <diagonal/>
    </border>
    <border>
      <left style="thin">
        <color indexed="8"/>
      </left>
      <right style="thin">
        <color indexed="8"/>
      </right>
      <top/>
      <bottom/>
      <diagonal/>
    </border>
    <border>
      <left/>
      <right style="hair">
        <color indexed="8"/>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medium">
        <color indexed="8"/>
      </left>
      <right style="medium">
        <color indexed="8"/>
      </right>
      <top/>
      <bottom/>
      <diagonal/>
    </border>
    <border>
      <left/>
      <right/>
      <top style="medium">
        <color indexed="8"/>
      </top>
      <bottom/>
      <diagonal/>
    </border>
    <border>
      <left style="medium">
        <color indexed="8"/>
      </left>
      <right/>
      <top style="hair">
        <color indexed="8"/>
      </top>
      <bottom style="hair">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8"/>
      </top>
      <bottom style="medium">
        <color indexed="8"/>
      </bottom>
      <diagonal/>
    </border>
    <border>
      <left style="medium">
        <color indexed="8"/>
      </left>
      <right style="medium">
        <color indexed="8"/>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style="thin">
        <color indexed="8"/>
      </bottom>
      <diagonal/>
    </border>
    <border>
      <left/>
      <right style="thin">
        <color indexed="8"/>
      </right>
      <top/>
      <bottom/>
      <diagonal/>
    </border>
    <border>
      <left/>
      <right style="thin">
        <color indexed="8"/>
      </right>
      <top style="thin">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n">
        <color indexed="8"/>
      </left>
      <right style="medium">
        <color indexed="64"/>
      </right>
      <top style="medium">
        <color indexed="64"/>
      </top>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diagonal/>
    </border>
    <border>
      <left/>
      <right style="thin">
        <color indexed="8"/>
      </right>
      <top style="medium">
        <color indexed="64"/>
      </top>
      <bottom/>
      <diagonal/>
    </border>
    <border>
      <left style="medium">
        <color indexed="64"/>
      </left>
      <right style="medium">
        <color indexed="64"/>
      </right>
      <top style="medium">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hair">
        <color indexed="8"/>
      </right>
      <top style="hair">
        <color indexed="8"/>
      </top>
      <bottom style="thin">
        <color indexed="64"/>
      </bottom>
      <diagonal/>
    </border>
    <border>
      <left style="thin">
        <color indexed="64"/>
      </left>
      <right style="hair">
        <color indexed="8"/>
      </right>
      <top style="thin">
        <color indexed="64"/>
      </top>
      <bottom style="hair">
        <color indexed="8"/>
      </bottom>
      <diagonal/>
    </border>
    <border>
      <left/>
      <right style="hair">
        <color indexed="8"/>
      </right>
      <top style="thin">
        <color indexed="64"/>
      </top>
      <bottom style="hair">
        <color indexed="8"/>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diagonal/>
    </border>
    <border>
      <left style="hair">
        <color indexed="64"/>
      </left>
      <right style="medium">
        <color indexed="64"/>
      </right>
      <top/>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thin">
        <color indexed="64"/>
      </left>
      <right style="thin">
        <color indexed="64"/>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8"/>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bottom style="hair">
        <color indexed="8"/>
      </bottom>
      <diagonal/>
    </border>
    <border>
      <left style="hair">
        <color indexed="64"/>
      </left>
      <right style="hair">
        <color indexed="64"/>
      </right>
      <top style="hair">
        <color indexed="8"/>
      </top>
      <bottom style="hair">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thin">
        <color indexed="64"/>
      </left>
      <right style="hair">
        <color indexed="8"/>
      </right>
      <top style="hair">
        <color indexed="8"/>
      </top>
      <bottom style="hair">
        <color indexed="8"/>
      </bottom>
      <diagonal/>
    </border>
    <border>
      <left style="thin">
        <color indexed="64"/>
      </left>
      <right style="hair">
        <color indexed="64"/>
      </right>
      <top style="hair">
        <color indexed="8"/>
      </top>
      <bottom style="hair">
        <color indexed="64"/>
      </bottom>
      <diagonal/>
    </border>
    <border>
      <left style="thin">
        <color indexed="64"/>
      </left>
      <right style="hair">
        <color indexed="64"/>
      </right>
      <top style="hair">
        <color indexed="64"/>
      </top>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diagonal/>
    </border>
    <border>
      <left style="hair">
        <color indexed="64"/>
      </left>
      <right style="medium">
        <color indexed="64"/>
      </right>
      <top style="hair">
        <color indexed="8"/>
      </top>
      <bottom style="hair">
        <color indexed="64"/>
      </bottom>
      <diagonal/>
    </border>
    <border>
      <left/>
      <right style="hair">
        <color indexed="64"/>
      </right>
      <top style="hair">
        <color indexed="64"/>
      </top>
      <bottom style="medium">
        <color indexed="64"/>
      </bottom>
      <diagonal/>
    </border>
    <border>
      <left style="thin">
        <color indexed="8"/>
      </left>
      <right style="thin">
        <color indexed="8"/>
      </right>
      <top style="medium">
        <color indexed="64"/>
      </top>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medium">
        <color indexed="64"/>
      </left>
      <right style="hair">
        <color indexed="8"/>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medium">
        <color indexed="64"/>
      </left>
      <right style="thin">
        <color indexed="8"/>
      </right>
      <top style="medium">
        <color indexed="64"/>
      </top>
      <bottom style="thin">
        <color indexed="8"/>
      </bottom>
      <diagonal/>
    </border>
    <border>
      <left style="thin">
        <color indexed="64"/>
      </left>
      <right style="thin">
        <color indexed="8"/>
      </right>
      <top style="thin">
        <color indexed="8"/>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top style="thin">
        <color indexed="64"/>
      </top>
      <bottom style="thin">
        <color indexed="8"/>
      </bottom>
      <diagonal/>
    </border>
    <border>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hair">
        <color indexed="64"/>
      </right>
      <top style="hair">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8"/>
      </left>
      <right/>
      <top/>
      <bottom style="hair">
        <color indexed="8"/>
      </bottom>
      <diagonal/>
    </border>
    <border>
      <left style="thin">
        <color indexed="64"/>
      </left>
      <right/>
      <top style="hair">
        <color indexed="8"/>
      </top>
      <bottom style="thin">
        <color indexed="64"/>
      </bottom>
      <diagonal/>
    </border>
    <border>
      <left style="thin">
        <color indexed="64"/>
      </left>
      <right/>
      <top style="thin">
        <color indexed="64"/>
      </top>
      <bottom style="thin">
        <color indexed="64"/>
      </bottom>
      <diagonal/>
    </border>
    <border>
      <left/>
      <right style="hair">
        <color indexed="8"/>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8"/>
      </bottom>
      <diagonal/>
    </border>
    <border>
      <left style="thin">
        <color indexed="64"/>
      </left>
      <right/>
      <top style="hair">
        <color indexed="8"/>
      </top>
      <bottom style="hair">
        <color indexed="8"/>
      </bottom>
      <diagonal/>
    </border>
    <border>
      <left/>
      <right style="thin">
        <color indexed="64"/>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right style="thin">
        <color indexed="64"/>
      </right>
      <top/>
      <bottom style="hair">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hair">
        <color indexed="8"/>
      </right>
      <top style="hair">
        <color indexed="8"/>
      </top>
      <bottom/>
      <diagonal/>
    </border>
    <border>
      <left style="medium">
        <color indexed="64"/>
      </left>
      <right style="hair">
        <color indexed="64"/>
      </right>
      <top style="hair">
        <color indexed="8"/>
      </top>
      <bottom style="hair">
        <color indexed="64"/>
      </bottom>
      <diagonal/>
    </border>
    <border>
      <left style="medium">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style="hair">
        <color indexed="8"/>
      </bottom>
      <diagonal/>
    </border>
    <border>
      <left style="medium">
        <color indexed="64"/>
      </left>
      <right style="hair">
        <color indexed="8"/>
      </right>
      <top style="thin">
        <color indexed="64"/>
      </top>
      <bottom style="hair">
        <color indexed="8"/>
      </bottom>
      <diagonal/>
    </border>
    <border>
      <left style="hair">
        <color indexed="8"/>
      </left>
      <right style="medium">
        <color indexed="64"/>
      </right>
      <top style="thin">
        <color indexed="64"/>
      </top>
      <bottom style="hair">
        <color indexed="8"/>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style="hair">
        <color indexed="8"/>
      </left>
      <right style="thin">
        <color indexed="64"/>
      </right>
      <top/>
      <bottom/>
      <diagonal/>
    </border>
    <border>
      <left style="hair">
        <color indexed="64"/>
      </left>
      <right/>
      <top style="thin">
        <color indexed="64"/>
      </top>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style="thin">
        <color indexed="64"/>
      </left>
      <right style="hair">
        <color indexed="8"/>
      </right>
      <top style="hair">
        <color indexed="8"/>
      </top>
      <bottom style="hair">
        <color indexed="64"/>
      </bottom>
      <diagonal/>
    </border>
    <border>
      <left style="thin">
        <color indexed="64"/>
      </left>
      <right style="hair">
        <color indexed="8"/>
      </right>
      <top style="hair">
        <color indexed="64"/>
      </top>
      <bottom style="hair">
        <color indexed="64"/>
      </bottom>
      <diagonal/>
    </border>
    <border>
      <left style="thin">
        <color indexed="64"/>
      </left>
      <right style="hair">
        <color indexed="8"/>
      </right>
      <top style="hair">
        <color indexed="64"/>
      </top>
      <bottom style="hair">
        <color indexed="8"/>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8"/>
      </right>
      <top style="thin">
        <color indexed="64"/>
      </top>
      <bottom style="medium">
        <color indexed="8"/>
      </bottom>
      <diagonal/>
    </border>
    <border>
      <left style="thin">
        <color indexed="8"/>
      </left>
      <right style="thin">
        <color indexed="8"/>
      </right>
      <top style="thin">
        <color indexed="64"/>
      </top>
      <bottom style="medium">
        <color indexed="8"/>
      </bottom>
      <diagonal/>
    </border>
    <border>
      <left style="thin">
        <color indexed="8"/>
      </left>
      <right style="thin">
        <color indexed="64"/>
      </right>
      <top style="thin">
        <color indexed="64"/>
      </top>
      <bottom style="medium">
        <color indexed="8"/>
      </bottom>
      <diagonal/>
    </border>
    <border>
      <left style="thin">
        <color indexed="64"/>
      </left>
      <right style="thin">
        <color indexed="8"/>
      </right>
      <top style="medium">
        <color indexed="8"/>
      </top>
      <bottom style="medium">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64"/>
      </right>
      <top style="medium">
        <color indexed="8"/>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hair">
        <color indexed="8"/>
      </bottom>
      <diagonal/>
    </border>
    <border>
      <left style="thin">
        <color indexed="64"/>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hair">
        <color indexed="8"/>
      </right>
      <top style="thin">
        <color indexed="64"/>
      </top>
      <bottom style="medium">
        <color indexed="8"/>
      </bottom>
      <diagonal/>
    </border>
    <border>
      <left style="thin">
        <color indexed="64"/>
      </left>
      <right style="hair">
        <color indexed="8"/>
      </right>
      <top style="medium">
        <color indexed="8"/>
      </top>
      <bottom style="medium">
        <color indexed="8"/>
      </bottom>
      <diagonal/>
    </border>
    <border>
      <left style="thin">
        <color indexed="64"/>
      </left>
      <right style="hair">
        <color indexed="8"/>
      </right>
      <top style="medium">
        <color indexed="8"/>
      </top>
      <bottom style="thin">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thin">
        <color indexed="64"/>
      </left>
      <right style="thin">
        <color indexed="64"/>
      </right>
      <top style="medium">
        <color indexed="8"/>
      </top>
      <bottom/>
      <diagonal/>
    </border>
    <border>
      <left style="hair">
        <color indexed="64"/>
      </left>
      <right style="hair">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style="thin">
        <color indexed="64"/>
      </right>
      <top style="thin">
        <color indexed="8"/>
      </top>
      <bottom style="medium">
        <color indexed="8"/>
      </bottom>
      <diagonal/>
    </border>
    <border>
      <left style="thin">
        <color indexed="64"/>
      </left>
      <right style="thin">
        <color indexed="64"/>
      </right>
      <top style="thin">
        <color indexed="8"/>
      </top>
      <bottom style="thin">
        <color indexed="64"/>
      </bottom>
      <diagonal/>
    </border>
    <border>
      <left style="thin">
        <color indexed="64"/>
      </left>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hair">
        <color indexed="8"/>
      </right>
      <top style="thin">
        <color indexed="64"/>
      </top>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8"/>
      </left>
      <right style="hair">
        <color indexed="8"/>
      </right>
      <top/>
      <bottom style="hair">
        <color indexed="8"/>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right style="hair">
        <color indexed="8"/>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hair">
        <color indexed="64"/>
      </left>
      <right style="medium">
        <color indexed="64"/>
      </right>
      <top/>
      <bottom style="hair">
        <color indexed="64"/>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hair">
        <color indexed="8"/>
      </left>
      <right style="thin">
        <color indexed="64"/>
      </right>
      <top style="thin">
        <color indexed="8"/>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64"/>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hair">
        <color indexed="8"/>
      </top>
      <bottom style="thin">
        <color indexed="64"/>
      </bottom>
      <diagonal/>
    </border>
    <border>
      <left/>
      <right style="thin">
        <color indexed="8"/>
      </right>
      <top/>
      <bottom style="hair">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8"/>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hair">
        <color indexed="8"/>
      </left>
      <right style="thin">
        <color indexed="64"/>
      </right>
      <top style="thin">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64"/>
      </right>
      <top style="hair">
        <color indexed="8"/>
      </top>
      <bottom style="thin">
        <color indexed="8"/>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hair">
        <color indexed="8"/>
      </right>
      <top/>
      <bottom/>
      <diagonal/>
    </border>
    <border>
      <left style="hair">
        <color indexed="8"/>
      </left>
      <right style="thin">
        <color indexed="8"/>
      </right>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8"/>
      </left>
      <right style="thin">
        <color indexed="64"/>
      </right>
      <top/>
      <bottom style="thin">
        <color indexed="64"/>
      </bottom>
      <diagonal/>
    </border>
    <border>
      <left style="thin">
        <color indexed="64"/>
      </left>
      <right style="hair">
        <color indexed="8"/>
      </right>
      <top style="hair">
        <color indexed="8"/>
      </top>
      <bottom style="thin">
        <color indexed="64"/>
      </bottom>
      <diagonal/>
    </border>
    <border>
      <left style="thin">
        <color indexed="64"/>
      </left>
      <right style="hair">
        <color indexed="8"/>
      </right>
      <top style="hair">
        <color indexed="8"/>
      </top>
      <bottom/>
      <diagonal/>
    </border>
    <border>
      <left style="hair">
        <color indexed="8"/>
      </left>
      <right style="thin">
        <color indexed="64"/>
      </right>
      <top style="hair">
        <color indexed="8"/>
      </top>
      <bottom/>
      <diagonal/>
    </border>
    <border>
      <left style="thin">
        <color indexed="64"/>
      </left>
      <right/>
      <top/>
      <bottom style="hair">
        <color indexed="8"/>
      </bottom>
      <diagonal/>
    </border>
    <border>
      <left style="thin">
        <color indexed="8"/>
      </left>
      <right style="thin">
        <color indexed="8"/>
      </right>
      <top/>
      <bottom style="hair">
        <color indexed="8"/>
      </bottom>
      <diagonal/>
    </border>
    <border>
      <left/>
      <right style="hair">
        <color indexed="64"/>
      </right>
      <top style="thin">
        <color indexed="64"/>
      </top>
      <bottom/>
      <diagonal/>
    </border>
    <border>
      <left/>
      <right style="hair">
        <color indexed="64"/>
      </right>
      <top/>
      <bottom style="thin">
        <color indexed="64"/>
      </bottom>
      <diagonal/>
    </border>
    <border>
      <left/>
      <right style="hair">
        <color auto="1"/>
      </right>
      <top/>
      <bottom style="hair">
        <color auto="1"/>
      </bottom>
      <diagonal/>
    </border>
    <border>
      <left/>
      <right style="hair">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style="thin">
        <color indexed="64"/>
      </bottom>
      <diagonal/>
    </border>
    <border>
      <left style="hair">
        <color auto="1"/>
      </left>
      <right style="thin">
        <color indexed="64"/>
      </right>
      <top style="hair">
        <color auto="1"/>
      </top>
      <bottom style="hair">
        <color auto="1"/>
      </bottom>
      <diagonal/>
    </border>
    <border>
      <left style="hair">
        <color indexed="64"/>
      </left>
      <right/>
      <top/>
      <bottom style="hair">
        <color indexed="64"/>
      </bottom>
      <diagonal/>
    </border>
  </borders>
  <cellStyleXfs count="97">
    <xf numFmtId="0" fontId="0" fillId="0" borderId="0"/>
    <xf numFmtId="0" fontId="9" fillId="0" borderId="0" applyNumberForma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7" fillId="6" borderId="0" applyNumberFormat="0" applyBorder="0" applyAlignment="0" applyProtection="0"/>
    <xf numFmtId="165" fontId="132" fillId="0" borderId="0" applyFill="0" applyBorder="0" applyAlignment="0" applyProtection="0"/>
    <xf numFmtId="166" fontId="132"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32" fillId="0" borderId="0" applyFill="0" applyBorder="0" applyAlignment="0" applyProtection="0"/>
    <xf numFmtId="164" fontId="11" fillId="0" borderId="0" applyFont="0" applyFill="0" applyBorder="0" applyAlignment="0" applyProtection="0"/>
    <xf numFmtId="3" fontId="132" fillId="0" borderId="0"/>
    <xf numFmtId="3" fontId="11" fillId="0" borderId="0"/>
    <xf numFmtId="3" fontId="11" fillId="0" borderId="0"/>
    <xf numFmtId="0" fontId="8" fillId="8" borderId="0" applyNumberFormat="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132" fillId="0" borderId="0" applyFill="0" applyBorder="0" applyAlignment="0" applyProtection="0"/>
    <xf numFmtId="0" fontId="6" fillId="9" borderId="0" applyNumberFormat="0" applyBorder="0" applyAlignment="0" applyProtection="0"/>
    <xf numFmtId="0" fontId="12" fillId="0" borderId="0"/>
    <xf numFmtId="0" fontId="12" fillId="0" borderId="0"/>
    <xf numFmtId="0" fontId="12" fillId="0" borderId="0"/>
    <xf numFmtId="0" fontId="11" fillId="0" borderId="0"/>
    <xf numFmtId="0" fontId="11" fillId="0" borderId="0"/>
    <xf numFmtId="0" fontId="11" fillId="0" borderId="0"/>
    <xf numFmtId="0" fontId="12" fillId="0" borderId="0"/>
    <xf numFmtId="0" fontId="11" fillId="0" borderId="0"/>
    <xf numFmtId="0" fontId="11" fillId="0" borderId="0"/>
    <xf numFmtId="0" fontId="13" fillId="0" borderId="0"/>
    <xf numFmtId="0" fontId="11" fillId="0" borderId="0"/>
    <xf numFmtId="0" fontId="11" fillId="0" borderId="0"/>
    <xf numFmtId="0" fontId="12" fillId="0" borderId="0"/>
    <xf numFmtId="0" fontId="12" fillId="0" borderId="0"/>
    <xf numFmtId="0" fontId="12" fillId="0" borderId="0"/>
    <xf numFmtId="0" fontId="12" fillId="0" borderId="0"/>
    <xf numFmtId="0" fontId="14" fillId="0" borderId="0"/>
    <xf numFmtId="0" fontId="12" fillId="0" borderId="0"/>
    <xf numFmtId="0" fontId="11" fillId="0" borderId="0"/>
    <xf numFmtId="0" fontId="11" fillId="0" borderId="0"/>
    <xf numFmtId="0" fontId="132" fillId="0" borderId="0"/>
    <xf numFmtId="0" fontId="11" fillId="0" borderId="0"/>
    <xf numFmtId="0" fontId="11" fillId="0" borderId="0"/>
    <xf numFmtId="0" fontId="11" fillId="0" borderId="0"/>
    <xf numFmtId="0" fontId="132" fillId="0" borderId="0"/>
    <xf numFmtId="0" fontId="132" fillId="0" borderId="0"/>
    <xf numFmtId="0" fontId="12" fillId="0" borderId="0"/>
    <xf numFmtId="0" fontId="12" fillId="0" borderId="0"/>
    <xf numFmtId="0" fontId="13" fillId="0" borderId="0"/>
    <xf numFmtId="0" fontId="12" fillId="0" borderId="0"/>
    <xf numFmtId="0" fontId="132" fillId="0" borderId="0"/>
    <xf numFmtId="0" fontId="12" fillId="0" borderId="0"/>
    <xf numFmtId="0" fontId="11" fillId="0" borderId="0"/>
    <xf numFmtId="0" fontId="11" fillId="0" borderId="0"/>
    <xf numFmtId="0" fontId="132" fillId="0" borderId="0"/>
    <xf numFmtId="0" fontId="132" fillId="9" borderId="1" applyNumberFormat="0" applyAlignment="0" applyProtection="0"/>
    <xf numFmtId="0" fontId="11" fillId="2" borderId="1" applyNumberFormat="0" applyFont="0" applyAlignment="0" applyProtection="0"/>
    <xf numFmtId="9" fontId="132" fillId="0" borderId="0" applyFill="0" applyBorder="0" applyAlignment="0" applyProtection="0"/>
    <xf numFmtId="9" fontId="12" fillId="0" borderId="0" applyFont="0" applyFill="0" applyBorder="0" applyAlignment="0" applyProtection="0"/>
    <xf numFmtId="9" fontId="132" fillId="0" borderId="0" applyFill="0" applyBorder="0" applyAlignment="0" applyProtection="0"/>
    <xf numFmtId="9" fontId="11" fillId="0" borderId="0" applyFont="0" applyFill="0" applyBorder="0" applyAlignment="0" applyProtection="0"/>
    <xf numFmtId="0" fontId="132" fillId="0" borderId="0" applyNumberFormat="0" applyFill="0" applyBorder="0" applyAlignment="0" applyProtection="0"/>
    <xf numFmtId="0" fontId="12" fillId="0" borderId="0"/>
    <xf numFmtId="0" fontId="11" fillId="0" borderId="0"/>
    <xf numFmtId="0" fontId="11" fillId="0" borderId="0"/>
    <xf numFmtId="0" fontId="132" fillId="0" borderId="0" applyNumberFormat="0" applyFill="0" applyBorder="0" applyAlignment="0" applyProtection="0"/>
    <xf numFmtId="165" fontId="132" fillId="0" borderId="0" applyFill="0" applyBorder="0" applyAlignment="0" applyProtection="0"/>
    <xf numFmtId="0" fontId="7" fillId="0" borderId="0" applyNumberFormat="0" applyFill="0" applyBorder="0" applyAlignment="0" applyProtection="0"/>
    <xf numFmtId="165" fontId="12" fillId="0" borderId="0" applyFill="0" applyBorder="0" applyAlignment="0" applyProtection="0"/>
    <xf numFmtId="0" fontId="168" fillId="0" borderId="0"/>
    <xf numFmtId="0" fontId="193" fillId="0" borderId="0"/>
    <xf numFmtId="0" fontId="11" fillId="0" borderId="0"/>
    <xf numFmtId="0" fontId="11" fillId="0" borderId="0"/>
    <xf numFmtId="0" fontId="11" fillId="0" borderId="0"/>
    <xf numFmtId="0" fontId="11" fillId="0" borderId="0"/>
    <xf numFmtId="0" fontId="12" fillId="0" borderId="0"/>
    <xf numFmtId="0" fontId="12" fillId="0" borderId="0"/>
    <xf numFmtId="0" fontId="59" fillId="0" borderId="0"/>
    <xf numFmtId="164" fontId="12" fillId="0" borderId="0" applyFont="0" applyFill="0" applyBorder="0" applyAlignment="0" applyProtection="0"/>
    <xf numFmtId="3"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2" borderId="1" applyNumberFormat="0" applyFont="0" applyAlignment="0" applyProtection="0"/>
    <xf numFmtId="0" fontId="11" fillId="0" borderId="0"/>
    <xf numFmtId="0" fontId="11" fillId="0" borderId="0"/>
    <xf numFmtId="0" fontId="11" fillId="0" borderId="0"/>
    <xf numFmtId="0" fontId="11" fillId="0" borderId="0"/>
    <xf numFmtId="0" fontId="12" fillId="0" borderId="0"/>
  </cellStyleXfs>
  <cellXfs count="4668">
    <xf numFmtId="0" fontId="0" fillId="0" borderId="0" xfId="0"/>
    <xf numFmtId="0" fontId="0" fillId="0" borderId="0" xfId="0" applyProtection="1"/>
    <xf numFmtId="0" fontId="0" fillId="0" borderId="0" xfId="0" applyAlignment="1" applyProtection="1">
      <alignment horizontal="center"/>
    </xf>
    <xf numFmtId="1" fontId="0" fillId="0" borderId="0" xfId="0" applyNumberFormat="1" applyProtection="1"/>
    <xf numFmtId="0" fontId="15" fillId="0" borderId="0" xfId="0" applyFont="1" applyFill="1" applyAlignment="1" applyProtection="1">
      <alignment horizontal="center"/>
    </xf>
    <xf numFmtId="3" fontId="0" fillId="0" borderId="0" xfId="0" applyNumberFormat="1" applyFill="1" applyProtection="1"/>
    <xf numFmtId="3" fontId="0" fillId="0" borderId="0" xfId="0" applyNumberFormat="1" applyProtection="1"/>
    <xf numFmtId="2" fontId="0" fillId="0" borderId="0" xfId="0" applyNumberFormat="1" applyProtection="1"/>
    <xf numFmtId="2" fontId="0" fillId="0" borderId="0" xfId="0" applyNumberFormat="1" applyAlignment="1" applyProtection="1">
      <alignment horizontal="center"/>
    </xf>
    <xf numFmtId="2" fontId="0" fillId="0" borderId="0" xfId="0" applyNumberFormat="1" applyProtection="1">
      <protection locked="0"/>
    </xf>
    <xf numFmtId="2" fontId="0" fillId="0" borderId="0" xfId="0" applyNumberFormat="1" applyAlignment="1" applyProtection="1">
      <alignment horizontal="left"/>
    </xf>
    <xf numFmtId="2" fontId="0" fillId="0" borderId="0" xfId="0" applyNumberFormat="1" applyAlignment="1" applyProtection="1">
      <alignment horizontal="left"/>
      <protection locked="0"/>
    </xf>
    <xf numFmtId="2" fontId="0" fillId="0" borderId="0" xfId="0" applyNumberFormat="1" applyFill="1" applyAlignment="1" applyProtection="1">
      <alignment horizontal="left"/>
      <protection locked="0"/>
    </xf>
    <xf numFmtId="0" fontId="11" fillId="0" borderId="0" xfId="0" applyFont="1" applyProtection="1"/>
    <xf numFmtId="0" fontId="19" fillId="0" borderId="0" xfId="0" applyFont="1" applyProtection="1"/>
    <xf numFmtId="0" fontId="19" fillId="0" borderId="0" xfId="0" applyFont="1" applyAlignment="1" applyProtection="1">
      <alignment horizontal="center"/>
    </xf>
    <xf numFmtId="1" fontId="18" fillId="0" borderId="0" xfId="0" applyNumberFormat="1" applyFont="1" applyProtection="1"/>
    <xf numFmtId="0" fontId="13" fillId="0" borderId="0" xfId="0" applyFont="1" applyProtection="1"/>
    <xf numFmtId="0" fontId="23" fillId="0" borderId="0" xfId="0" applyFont="1" applyFill="1" applyAlignment="1" applyProtection="1">
      <alignment horizontal="center"/>
    </xf>
    <xf numFmtId="3" fontId="24" fillId="0" borderId="0" xfId="0" applyNumberFormat="1" applyFont="1" applyFill="1" applyProtection="1"/>
    <xf numFmtId="0" fontId="24" fillId="0" borderId="0" xfId="0" applyFont="1" applyProtection="1"/>
    <xf numFmtId="3" fontId="24" fillId="0" borderId="0" xfId="0" applyNumberFormat="1" applyFont="1" applyProtection="1"/>
    <xf numFmtId="3" fontId="13" fillId="0" borderId="12" xfId="0" applyNumberFormat="1" applyFont="1" applyFill="1" applyBorder="1" applyAlignment="1" applyProtection="1">
      <alignment horizontal="right" vertical="center" wrapText="1"/>
      <protection locked="0"/>
    </xf>
    <xf numFmtId="167" fontId="0" fillId="0" borderId="0" xfId="68" applyNumberFormat="1" applyFont="1" applyFill="1" applyBorder="1" applyAlignment="1" applyProtection="1"/>
    <xf numFmtId="3" fontId="15" fillId="0" borderId="0" xfId="0" applyNumberFormat="1" applyFont="1" applyFill="1" applyAlignment="1" applyProtection="1">
      <alignment horizontal="center"/>
    </xf>
    <xf numFmtId="3" fontId="28" fillId="0" borderId="0" xfId="0" applyNumberFormat="1" applyFont="1" applyFill="1" applyAlignment="1" applyProtection="1">
      <alignment horizontal="center"/>
    </xf>
    <xf numFmtId="3" fontId="30" fillId="0" borderId="0" xfId="0" applyNumberFormat="1" applyFont="1" applyFill="1" applyAlignment="1" applyProtection="1">
      <alignment horizontal="center" vertical="center"/>
    </xf>
    <xf numFmtId="3" fontId="28" fillId="0" borderId="0" xfId="0" applyNumberFormat="1" applyFont="1" applyFill="1" applyAlignment="1" applyProtection="1">
      <alignment horizontal="center" vertical="center"/>
    </xf>
    <xf numFmtId="0" fontId="15" fillId="0" borderId="0" xfId="0" applyFont="1" applyFill="1" applyBorder="1" applyAlignment="1" applyProtection="1">
      <alignment horizontal="center"/>
    </xf>
    <xf numFmtId="0" fontId="33" fillId="0" borderId="0" xfId="0" applyFont="1" applyFill="1" applyBorder="1" applyAlignment="1">
      <alignment vertical="top" wrapText="1"/>
    </xf>
    <xf numFmtId="0" fontId="34" fillId="0" borderId="0" xfId="0" applyFont="1" applyFill="1" applyAlignment="1" applyProtection="1">
      <alignment horizontal="center"/>
    </xf>
    <xf numFmtId="0" fontId="0" fillId="0" borderId="0" xfId="0" applyAlignment="1" applyProtection="1"/>
    <xf numFmtId="0" fontId="33" fillId="0" borderId="0" xfId="0" applyFont="1" applyFill="1" applyAlignment="1">
      <alignment horizontal="left"/>
    </xf>
    <xf numFmtId="0" fontId="29" fillId="0" borderId="0" xfId="0" applyFont="1" applyAlignment="1" applyProtection="1">
      <alignment horizontal="center"/>
    </xf>
    <xf numFmtId="0" fontId="28" fillId="0" borderId="0" xfId="0" applyFont="1" applyFill="1" applyProtection="1"/>
    <xf numFmtId="2" fontId="16" fillId="0" borderId="0" xfId="0" applyNumberFormat="1" applyFont="1" applyFill="1" applyAlignment="1" applyProtection="1">
      <alignment horizontal="left"/>
    </xf>
    <xf numFmtId="0" fontId="13" fillId="0" borderId="0" xfId="0" applyFont="1" applyAlignment="1" applyProtection="1">
      <alignment horizontal="left" indent="4"/>
    </xf>
    <xf numFmtId="0" fontId="29" fillId="0" borderId="0" xfId="0" applyFont="1" applyFill="1" applyAlignment="1" applyProtection="1">
      <alignment horizontal="center"/>
    </xf>
    <xf numFmtId="0" fontId="17" fillId="0" borderId="0" xfId="0" applyFont="1" applyAlignment="1" applyProtection="1"/>
    <xf numFmtId="0" fontId="0" fillId="0" borderId="0" xfId="0" applyFont="1" applyBorder="1" applyProtection="1"/>
    <xf numFmtId="3" fontId="27" fillId="0" borderId="0" xfId="0" applyNumberFormat="1" applyFont="1" applyAlignment="1" applyProtection="1"/>
    <xf numFmtId="3" fontId="27" fillId="0" borderId="0" xfId="0" applyNumberFormat="1" applyFont="1" applyFill="1" applyAlignment="1" applyProtection="1"/>
    <xf numFmtId="0" fontId="29" fillId="0" borderId="0" xfId="0" applyFont="1" applyProtection="1"/>
    <xf numFmtId="3" fontId="31" fillId="0" borderId="0" xfId="0" applyNumberFormat="1" applyFont="1" applyFill="1" applyBorder="1" applyAlignment="1" applyProtection="1">
      <alignment horizontal="center" vertical="center" wrapText="1"/>
    </xf>
    <xf numFmtId="3" fontId="31" fillId="0" borderId="4" xfId="0" applyNumberFormat="1" applyFont="1" applyBorder="1" applyAlignment="1" applyProtection="1">
      <alignment horizontal="center" vertical="top" wrapText="1"/>
    </xf>
    <xf numFmtId="3" fontId="31" fillId="0" borderId="0" xfId="0" applyNumberFormat="1" applyFont="1" applyFill="1" applyBorder="1" applyAlignment="1" applyProtection="1">
      <alignment horizontal="center" vertical="top" wrapText="1"/>
    </xf>
    <xf numFmtId="0" fontId="37" fillId="0" borderId="18" xfId="0" applyFont="1" applyFill="1" applyBorder="1" applyAlignment="1" applyProtection="1">
      <alignment horizontal="center" vertical="top" wrapText="1"/>
    </xf>
    <xf numFmtId="3" fontId="27" fillId="0" borderId="0" xfId="0" applyNumberFormat="1" applyFont="1" applyFill="1" applyBorder="1" applyAlignment="1" applyProtection="1">
      <alignment horizontal="right" vertical="top" wrapText="1"/>
    </xf>
    <xf numFmtId="0" fontId="0" fillId="0" borderId="0" xfId="0" applyFill="1" applyProtection="1"/>
    <xf numFmtId="3" fontId="13" fillId="0" borderId="0" xfId="0" applyNumberFormat="1" applyFont="1" applyFill="1" applyBorder="1" applyAlignment="1" applyProtection="1">
      <alignment horizontal="right" vertical="center" wrapText="1"/>
      <protection locked="0"/>
    </xf>
    <xf numFmtId="167" fontId="0" fillId="0" borderId="0" xfId="0" applyNumberFormat="1" applyProtection="1"/>
    <xf numFmtId="3" fontId="29" fillId="0" borderId="0" xfId="0" applyNumberFormat="1" applyFont="1" applyFill="1" applyBorder="1" applyAlignment="1" applyProtection="1">
      <alignment horizontal="right" vertical="center" wrapText="1"/>
    </xf>
    <xf numFmtId="3" fontId="13" fillId="0" borderId="0" xfId="0" applyNumberFormat="1" applyFont="1" applyFill="1" applyBorder="1" applyAlignment="1" applyProtection="1">
      <alignment horizontal="right" vertical="center" wrapText="1"/>
    </xf>
    <xf numFmtId="3" fontId="13" fillId="0" borderId="0" xfId="0" applyNumberFormat="1" applyFont="1" applyFill="1" applyBorder="1" applyAlignment="1" applyProtection="1">
      <alignment vertical="center" wrapText="1"/>
    </xf>
    <xf numFmtId="3" fontId="29" fillId="0" borderId="0" xfId="0" applyNumberFormat="1" applyFont="1" applyFill="1" applyBorder="1" applyAlignment="1" applyProtection="1">
      <alignment horizontal="right" vertical="center" wrapText="1"/>
      <protection locked="0"/>
    </xf>
    <xf numFmtId="3" fontId="43" fillId="0" borderId="0" xfId="0" applyNumberFormat="1" applyFont="1" applyFill="1" applyBorder="1" applyAlignment="1" applyProtection="1">
      <alignment horizontal="right" vertical="center" wrapText="1"/>
    </xf>
    <xf numFmtId="0" fontId="12" fillId="0" borderId="0" xfId="0" applyFont="1" applyFill="1" applyProtection="1"/>
    <xf numFmtId="3" fontId="12" fillId="0" borderId="0" xfId="0" applyNumberFormat="1" applyFont="1" applyFill="1" applyProtection="1"/>
    <xf numFmtId="3" fontId="45" fillId="0" borderId="0" xfId="0" applyNumberFormat="1" applyFont="1" applyFill="1" applyProtection="1"/>
    <xf numFmtId="0" fontId="17" fillId="0" borderId="0" xfId="0" applyFont="1" applyFill="1" applyAlignment="1" applyProtection="1"/>
    <xf numFmtId="0" fontId="46" fillId="0" borderId="0" xfId="0" applyFont="1" applyFill="1" applyAlignment="1" applyProtection="1"/>
    <xf numFmtId="0" fontId="0" fillId="0" borderId="0" xfId="0" applyFill="1" applyAlignment="1" applyProtection="1"/>
    <xf numFmtId="0" fontId="47" fillId="0" borderId="0" xfId="0" applyFont="1" applyFill="1" applyAlignment="1" applyProtection="1">
      <alignment horizontal="center"/>
      <protection locked="0"/>
    </xf>
    <xf numFmtId="0" fontId="12" fillId="0" borderId="0" xfId="0" applyFont="1" applyProtection="1"/>
    <xf numFmtId="0" fontId="29" fillId="0" borderId="0" xfId="0" applyFont="1" applyFill="1" applyAlignment="1" applyProtection="1">
      <alignment horizontal="center"/>
      <protection locked="0"/>
    </xf>
    <xf numFmtId="0" fontId="19" fillId="0" borderId="0" xfId="0" applyFont="1" applyFill="1" applyProtection="1"/>
    <xf numFmtId="0" fontId="26" fillId="0" borderId="0" xfId="0" applyFont="1" applyFill="1" applyAlignment="1" applyProtection="1">
      <alignment horizontal="center"/>
    </xf>
    <xf numFmtId="0" fontId="26" fillId="0" borderId="0" xfId="0" applyFont="1" applyFill="1" applyAlignment="1" applyProtection="1"/>
    <xf numFmtId="0" fontId="28" fillId="0" borderId="0" xfId="0" applyFont="1" applyFill="1" applyAlignment="1" applyProtection="1"/>
    <xf numFmtId="0" fontId="0" fillId="0" borderId="0" xfId="0" applyFill="1" applyBorder="1" applyProtection="1"/>
    <xf numFmtId="0" fontId="0" fillId="0" borderId="0" xfId="0" applyFill="1" applyAlignment="1" applyProtection="1">
      <alignment horizontal="center" vertical="center"/>
    </xf>
    <xf numFmtId="49" fontId="0" fillId="0" borderId="0" xfId="0" applyNumberFormat="1" applyFill="1" applyAlignment="1" applyProtection="1">
      <alignment horizontal="right" vertical="center"/>
    </xf>
    <xf numFmtId="0" fontId="41" fillId="0" borderId="0" xfId="0" applyFont="1" applyFill="1" applyProtection="1"/>
    <xf numFmtId="49" fontId="41" fillId="0" borderId="0" xfId="0" applyNumberFormat="1" applyFont="1" applyFill="1" applyAlignment="1" applyProtection="1">
      <alignment horizontal="center"/>
    </xf>
    <xf numFmtId="0" fontId="0" fillId="0" borderId="0" xfId="0" applyFill="1" applyBorder="1" applyAlignment="1" applyProtection="1">
      <alignment vertical="center"/>
    </xf>
    <xf numFmtId="0" fontId="0" fillId="0" borderId="0" xfId="0" applyFill="1" applyAlignment="1" applyProtection="1">
      <alignment vertical="center"/>
    </xf>
    <xf numFmtId="3" fontId="27" fillId="0" borderId="29" xfId="0" applyNumberFormat="1" applyFont="1" applyFill="1" applyBorder="1" applyAlignment="1" applyProtection="1">
      <alignment horizontal="right" vertical="center"/>
    </xf>
    <xf numFmtId="3" fontId="27" fillId="0" borderId="12" xfId="0" applyNumberFormat="1" applyFont="1" applyFill="1" applyBorder="1" applyAlignment="1" applyProtection="1">
      <alignment horizontal="right" vertical="center"/>
    </xf>
    <xf numFmtId="3" fontId="0" fillId="0" borderId="0" xfId="0" applyNumberFormat="1" applyFill="1" applyBorder="1" applyAlignment="1" applyProtection="1">
      <alignment horizontal="right" vertical="center"/>
    </xf>
    <xf numFmtId="3" fontId="27" fillId="0" borderId="29" xfId="0" applyNumberFormat="1" applyFont="1" applyFill="1" applyBorder="1" applyAlignment="1" applyProtection="1">
      <alignment vertical="center"/>
    </xf>
    <xf numFmtId="3" fontId="27" fillId="0" borderId="12" xfId="0" applyNumberFormat="1" applyFont="1" applyFill="1" applyBorder="1" applyAlignment="1" applyProtection="1">
      <alignment vertical="center"/>
    </xf>
    <xf numFmtId="3" fontId="27" fillId="0" borderId="35" xfId="0" applyNumberFormat="1" applyFont="1" applyFill="1" applyBorder="1" applyAlignment="1" applyProtection="1">
      <alignment horizontal="right" vertical="center"/>
    </xf>
    <xf numFmtId="3" fontId="27" fillId="0" borderId="15" xfId="0" applyNumberFormat="1" applyFont="1" applyFill="1" applyBorder="1" applyAlignment="1" applyProtection="1">
      <alignment horizontal="right" vertical="center"/>
    </xf>
    <xf numFmtId="0" fontId="41"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3" fontId="27" fillId="0" borderId="0" xfId="0" applyNumberFormat="1" applyFont="1" applyFill="1" applyBorder="1" applyAlignment="1" applyProtection="1">
      <alignment horizontal="right" vertical="center"/>
    </xf>
    <xf numFmtId="0" fontId="12" fillId="0" borderId="0" xfId="0" applyFont="1" applyFill="1" applyAlignment="1" applyProtection="1"/>
    <xf numFmtId="3" fontId="28" fillId="0" borderId="0" xfId="0" applyNumberFormat="1" applyFont="1" applyFill="1" applyBorder="1" applyAlignment="1" applyProtection="1">
      <alignment horizontal="center"/>
    </xf>
    <xf numFmtId="3" fontId="50" fillId="0" borderId="0" xfId="0" applyNumberFormat="1" applyFont="1" applyFill="1" applyBorder="1" applyAlignment="1" applyProtection="1">
      <alignment horizontal="center"/>
    </xf>
    <xf numFmtId="0" fontId="41" fillId="0" borderId="0" xfId="0" applyFont="1" applyFill="1" applyAlignment="1" applyProtection="1"/>
    <xf numFmtId="0" fontId="16" fillId="0" borderId="0" xfId="0" applyNumberFormat="1" applyFont="1" applyFill="1" applyAlignment="1" applyProtection="1">
      <alignment horizontal="center"/>
    </xf>
    <xf numFmtId="0" fontId="17" fillId="0" borderId="0" xfId="0" applyFont="1" applyFill="1" applyAlignment="1" applyProtection="1">
      <alignment horizontal="center"/>
    </xf>
    <xf numFmtId="0" fontId="12" fillId="0" borderId="0" xfId="22" applyProtection="1"/>
    <xf numFmtId="0" fontId="12" fillId="0" borderId="0" xfId="22" applyAlignment="1" applyProtection="1">
      <alignment horizontal="center" vertical="center"/>
    </xf>
    <xf numFmtId="49" fontId="12" fillId="0" borderId="0" xfId="22" applyNumberFormat="1" applyFill="1" applyAlignment="1" applyProtection="1">
      <alignment horizontal="right" vertical="center"/>
    </xf>
    <xf numFmtId="0" fontId="12" fillId="0" borderId="0" xfId="22" applyFill="1" applyProtection="1"/>
    <xf numFmtId="0" fontId="12" fillId="0" borderId="0" xfId="22" applyBorder="1" applyProtection="1"/>
    <xf numFmtId="0" fontId="41" fillId="0" borderId="0" xfId="22" applyFont="1" applyProtection="1"/>
    <xf numFmtId="3" fontId="27" fillId="0" borderId="0" xfId="22" applyNumberFormat="1" applyFont="1" applyFill="1" applyAlignment="1" applyProtection="1"/>
    <xf numFmtId="0" fontId="17" fillId="0" borderId="25" xfId="22" applyFont="1" applyBorder="1" applyAlignment="1" applyProtection="1">
      <alignment horizontal="center" vertical="center" wrapText="1"/>
    </xf>
    <xf numFmtId="49" fontId="48" fillId="0" borderId="26" xfId="22" applyNumberFormat="1" applyFont="1" applyBorder="1" applyAlignment="1" applyProtection="1">
      <alignment horizontal="center" vertical="center" wrapText="1"/>
    </xf>
    <xf numFmtId="49" fontId="41" fillId="0" borderId="26" xfId="22" applyNumberFormat="1" applyFont="1" applyFill="1" applyBorder="1" applyAlignment="1" applyProtection="1">
      <alignment horizontal="center" vertical="center" wrapText="1"/>
    </xf>
    <xf numFmtId="0" fontId="48" fillId="0" borderId="26" xfId="22" applyFont="1" applyFill="1" applyBorder="1" applyAlignment="1" applyProtection="1">
      <alignment horizontal="center" vertical="center" wrapText="1"/>
    </xf>
    <xf numFmtId="0" fontId="48" fillId="0" borderId="5" xfId="22" applyFont="1" applyFill="1" applyBorder="1" applyAlignment="1" applyProtection="1">
      <alignment horizontal="center" vertical="center" wrapText="1"/>
    </xf>
    <xf numFmtId="0" fontId="12" fillId="0" borderId="25" xfId="22" applyFont="1" applyBorder="1" applyAlignment="1" applyProtection="1">
      <alignment horizontal="center"/>
    </xf>
    <xf numFmtId="0" fontId="12" fillId="0" borderId="26" xfId="22" applyFont="1" applyBorder="1" applyAlignment="1" applyProtection="1">
      <alignment horizontal="center" vertical="center"/>
    </xf>
    <xf numFmtId="49" fontId="12" fillId="0" borderId="26" xfId="22" applyNumberFormat="1" applyFill="1" applyBorder="1" applyAlignment="1" applyProtection="1">
      <alignment horizontal="center" vertical="center"/>
    </xf>
    <xf numFmtId="0" fontId="12" fillId="0" borderId="26" xfId="22" applyFill="1" applyBorder="1" applyAlignment="1" applyProtection="1">
      <alignment horizontal="center"/>
    </xf>
    <xf numFmtId="0" fontId="12" fillId="0" borderId="5" xfId="22" applyFill="1" applyBorder="1" applyAlignment="1" applyProtection="1">
      <alignment horizontal="center"/>
    </xf>
    <xf numFmtId="0" fontId="12" fillId="0" borderId="0" xfId="22" applyBorder="1" applyAlignment="1" applyProtection="1">
      <alignment horizontal="center"/>
    </xf>
    <xf numFmtId="0" fontId="41" fillId="0" borderId="17" xfId="22" applyFont="1" applyBorder="1" applyAlignment="1" applyProtection="1">
      <alignment horizontal="left" vertical="center" wrapText="1"/>
    </xf>
    <xf numFmtId="0" fontId="12" fillId="0" borderId="6" xfId="22" applyBorder="1" applyAlignment="1" applyProtection="1">
      <alignment horizontal="center" vertical="center"/>
    </xf>
    <xf numFmtId="3" fontId="12" fillId="0" borderId="27" xfId="22" applyNumberFormat="1" applyFill="1" applyBorder="1" applyAlignment="1" applyProtection="1">
      <alignment horizontal="right" vertical="center"/>
    </xf>
    <xf numFmtId="3" fontId="12" fillId="0" borderId="28" xfId="22" applyNumberFormat="1" applyFill="1" applyBorder="1" applyProtection="1"/>
    <xf numFmtId="3" fontId="12" fillId="0" borderId="8" xfId="22" applyNumberFormat="1" applyFill="1" applyBorder="1" applyProtection="1"/>
    <xf numFmtId="0" fontId="12" fillId="0" borderId="21" xfId="22" applyFont="1" applyBorder="1" applyProtection="1"/>
    <xf numFmtId="0" fontId="12" fillId="0" borderId="10" xfId="22" applyBorder="1" applyAlignment="1" applyProtection="1">
      <alignment horizontal="center" vertical="center"/>
    </xf>
    <xf numFmtId="3" fontId="12" fillId="0" borderId="22" xfId="22" applyNumberFormat="1" applyFill="1" applyBorder="1" applyAlignment="1" applyProtection="1">
      <alignment horizontal="right" vertical="center"/>
    </xf>
    <xf numFmtId="3" fontId="12" fillId="0" borderId="29" xfId="22" applyNumberFormat="1" applyFill="1" applyBorder="1" applyProtection="1"/>
    <xf numFmtId="3" fontId="12" fillId="0" borderId="12" xfId="22" applyNumberFormat="1" applyFill="1" applyBorder="1" applyProtection="1"/>
    <xf numFmtId="0" fontId="12" fillId="0" borderId="21" xfId="22" applyFont="1" applyBorder="1" applyAlignment="1" applyProtection="1">
      <alignment vertical="center" wrapText="1"/>
    </xf>
    <xf numFmtId="3" fontId="12" fillId="0" borderId="29" xfId="22" applyNumberFormat="1" applyFill="1" applyBorder="1" applyAlignment="1" applyProtection="1">
      <alignment horizontal="right" vertical="center"/>
    </xf>
    <xf numFmtId="3" fontId="12" fillId="0" borderId="12" xfId="22" applyNumberFormat="1" applyFill="1" applyBorder="1" applyAlignment="1" applyProtection="1">
      <alignment horizontal="right" vertical="center"/>
    </xf>
    <xf numFmtId="0" fontId="41" fillId="0" borderId="21" xfId="22" applyFont="1" applyBorder="1" applyAlignment="1" applyProtection="1">
      <alignment vertical="center" wrapText="1"/>
    </xf>
    <xf numFmtId="0" fontId="41" fillId="0" borderId="23" xfId="22" applyFont="1" applyBorder="1" applyAlignment="1" applyProtection="1">
      <alignment vertical="center" wrapText="1"/>
    </xf>
    <xf numFmtId="0" fontId="12" fillId="0" borderId="13" xfId="22" applyBorder="1" applyAlignment="1" applyProtection="1">
      <alignment horizontal="center" vertical="center"/>
    </xf>
    <xf numFmtId="3" fontId="12" fillId="0" borderId="24" xfId="22" applyNumberFormat="1" applyFill="1" applyBorder="1" applyAlignment="1" applyProtection="1">
      <alignment horizontal="right" vertical="center"/>
    </xf>
    <xf numFmtId="3" fontId="12" fillId="0" borderId="35" xfId="22" applyNumberFormat="1" applyFill="1" applyBorder="1" applyAlignment="1" applyProtection="1">
      <alignment horizontal="right" vertical="center"/>
    </xf>
    <xf numFmtId="3" fontId="12" fillId="0" borderId="15" xfId="22" applyNumberFormat="1" applyFill="1" applyBorder="1" applyAlignment="1" applyProtection="1">
      <alignment horizontal="right" vertical="center"/>
    </xf>
    <xf numFmtId="3" fontId="53" fillId="0" borderId="0" xfId="0" applyNumberFormat="1" applyFont="1" applyFill="1" applyBorder="1" applyAlignment="1" applyProtection="1">
      <alignment horizontal="center"/>
    </xf>
    <xf numFmtId="0" fontId="29" fillId="0" borderId="0" xfId="22" applyFont="1" applyAlignment="1" applyProtection="1">
      <alignment horizontal="center"/>
    </xf>
    <xf numFmtId="0" fontId="27" fillId="0" borderId="0" xfId="0" applyNumberFormat="1" applyFont="1" applyAlignment="1" applyProtection="1">
      <alignment vertical="top"/>
    </xf>
    <xf numFmtId="0" fontId="0" fillId="0" borderId="0" xfId="0" applyNumberFormat="1" applyAlignment="1" applyProtection="1">
      <alignment vertical="top"/>
    </xf>
    <xf numFmtId="0" fontId="26" fillId="0" borderId="0" xfId="0" applyFont="1" applyProtection="1"/>
    <xf numFmtId="0" fontId="55" fillId="0" borderId="0" xfId="0" applyNumberFormat="1" applyFont="1" applyBorder="1" applyAlignment="1" applyProtection="1">
      <alignment vertical="top" wrapText="1"/>
    </xf>
    <xf numFmtId="0" fontId="27" fillId="0" borderId="0" xfId="0" applyFont="1" applyBorder="1" applyAlignment="1" applyProtection="1">
      <alignment horizontal="right" vertical="top" wrapText="1"/>
    </xf>
    <xf numFmtId="0" fontId="27" fillId="0" borderId="0" xfId="0" applyFont="1" applyBorder="1" applyAlignment="1" applyProtection="1">
      <alignment horizontal="center" vertical="top" wrapText="1"/>
    </xf>
    <xf numFmtId="0" fontId="55" fillId="0" borderId="0" xfId="0" applyFont="1" applyBorder="1" applyAlignment="1" applyProtection="1">
      <alignment wrapText="1"/>
    </xf>
    <xf numFmtId="3" fontId="0" fillId="0" borderId="0" xfId="0" applyNumberFormat="1" applyBorder="1" applyAlignment="1" applyProtection="1">
      <alignment vertical="center"/>
    </xf>
    <xf numFmtId="3" fontId="0" fillId="0" borderId="0" xfId="0" applyNumberFormat="1" applyAlignment="1" applyProtection="1">
      <alignment vertical="center"/>
    </xf>
    <xf numFmtId="0" fontId="0" fillId="0" borderId="0" xfId="0" applyBorder="1" applyAlignment="1" applyProtection="1">
      <alignment vertical="top"/>
    </xf>
    <xf numFmtId="0" fontId="12" fillId="0" borderId="0" xfId="0" applyFont="1" applyBorder="1" applyProtection="1"/>
    <xf numFmtId="0" fontId="57" fillId="0" borderId="0" xfId="0" applyFont="1" applyBorder="1" applyAlignment="1" applyProtection="1">
      <alignment horizontal="center" vertical="top" wrapText="1"/>
    </xf>
    <xf numFmtId="0" fontId="55" fillId="0" borderId="0" xfId="0" applyFont="1" applyBorder="1" applyAlignment="1" applyProtection="1">
      <alignment horizontal="center" vertical="top" wrapText="1"/>
    </xf>
    <xf numFmtId="0" fontId="55" fillId="0" borderId="0" xfId="0" applyFont="1" applyBorder="1" applyAlignment="1" applyProtection="1">
      <alignment vertical="top" wrapText="1"/>
    </xf>
    <xf numFmtId="0" fontId="26" fillId="0" borderId="0" xfId="0" applyFont="1" applyBorder="1" applyAlignment="1" applyProtection="1">
      <protection locked="0"/>
    </xf>
    <xf numFmtId="0" fontId="29" fillId="0" borderId="0" xfId="0" applyFont="1" applyAlignment="1" applyProtection="1"/>
    <xf numFmtId="0" fontId="29" fillId="0" borderId="0" xfId="0" applyFont="1" applyFill="1" applyAlignment="1" applyProtection="1"/>
    <xf numFmtId="0" fontId="31" fillId="0" borderId="0" xfId="0" applyFont="1" applyAlignment="1" applyProtection="1"/>
    <xf numFmtId="0" fontId="0" fillId="0" borderId="0" xfId="0" applyProtection="1">
      <protection locked="0"/>
    </xf>
    <xf numFmtId="0" fontId="16" fillId="0" borderId="0" xfId="0" applyFont="1" applyAlignment="1" applyProtection="1">
      <protection locked="0"/>
    </xf>
    <xf numFmtId="0" fontId="17" fillId="0" borderId="0" xfId="0" applyFont="1" applyAlignment="1" applyProtection="1">
      <protection locked="0"/>
    </xf>
    <xf numFmtId="0" fontId="27" fillId="0" borderId="0" xfId="0" applyFont="1" applyAlignment="1" applyProtection="1">
      <alignment horizontal="center"/>
    </xf>
    <xf numFmtId="0" fontId="58" fillId="0" borderId="0" xfId="0" applyFont="1" applyProtection="1"/>
    <xf numFmtId="0" fontId="27" fillId="0" borderId="0" xfId="0" applyFont="1" applyProtection="1"/>
    <xf numFmtId="0" fontId="29" fillId="0" borderId="0" xfId="0" applyFont="1" applyAlignment="1" applyProtection="1">
      <protection locked="0"/>
    </xf>
    <xf numFmtId="0" fontId="12" fillId="0" borderId="36" xfId="37" applyFill="1" applyBorder="1" applyProtection="1"/>
    <xf numFmtId="4" fontId="12" fillId="0" borderId="36" xfId="37" applyNumberFormat="1" applyFill="1" applyBorder="1" applyProtection="1"/>
    <xf numFmtId="0" fontId="12" fillId="0" borderId="0" xfId="37" applyFill="1" applyProtection="1"/>
    <xf numFmtId="4" fontId="12" fillId="0" borderId="0" xfId="37" applyNumberFormat="1" applyFill="1" applyProtection="1"/>
    <xf numFmtId="0" fontId="12" fillId="0" borderId="0" xfId="37" applyProtection="1"/>
    <xf numFmtId="2" fontId="16" fillId="0" borderId="0" xfId="37" applyNumberFormat="1" applyFont="1" applyFill="1" applyBorder="1" applyProtection="1">
      <protection locked="0"/>
    </xf>
    <xf numFmtId="0" fontId="12" fillId="0" borderId="0" xfId="37" applyFill="1" applyBorder="1" applyProtection="1"/>
    <xf numFmtId="4" fontId="12" fillId="0" borderId="0" xfId="37" applyNumberFormat="1" applyFill="1" applyBorder="1" applyProtection="1"/>
    <xf numFmtId="0" fontId="59" fillId="0" borderId="0" xfId="37" applyFont="1" applyFill="1" applyBorder="1" applyProtection="1"/>
    <xf numFmtId="3" fontId="12" fillId="0" borderId="0" xfId="53" applyNumberFormat="1" applyFont="1" applyProtection="1"/>
    <xf numFmtId="0" fontId="12" fillId="0" borderId="0" xfId="37" applyFont="1" applyFill="1" applyAlignment="1" applyProtection="1">
      <alignment horizontal="right"/>
    </xf>
    <xf numFmtId="4" fontId="44" fillId="0" borderId="28" xfId="37" applyNumberFormat="1" applyFont="1" applyFill="1" applyBorder="1" applyAlignment="1" applyProtection="1">
      <alignment horizontal="center" wrapText="1"/>
    </xf>
    <xf numFmtId="4" fontId="44" fillId="0" borderId="8" xfId="37" applyNumberFormat="1" applyFont="1" applyFill="1" applyBorder="1" applyAlignment="1" applyProtection="1">
      <alignment horizontal="center" wrapText="1"/>
    </xf>
    <xf numFmtId="0" fontId="23" fillId="0" borderId="14" xfId="37" applyFont="1" applyFill="1" applyBorder="1" applyAlignment="1" applyProtection="1">
      <alignment horizontal="center"/>
    </xf>
    <xf numFmtId="0" fontId="23" fillId="0" borderId="35" xfId="37" applyFont="1" applyFill="1" applyBorder="1" applyAlignment="1" applyProtection="1">
      <alignment horizontal="center" vertical="center"/>
    </xf>
    <xf numFmtId="49" fontId="23" fillId="0" borderId="35" xfId="37" applyNumberFormat="1" applyFont="1" applyFill="1" applyBorder="1" applyAlignment="1" applyProtection="1">
      <alignment horizontal="center"/>
    </xf>
    <xf numFmtId="49" fontId="23" fillId="0" borderId="15" xfId="37" applyNumberFormat="1" applyFont="1" applyFill="1" applyBorder="1" applyAlignment="1" applyProtection="1">
      <alignment horizontal="center"/>
    </xf>
    <xf numFmtId="0" fontId="44" fillId="0" borderId="0" xfId="37" applyFont="1" applyFill="1" applyBorder="1" applyProtection="1"/>
    <xf numFmtId="0" fontId="44" fillId="0" borderId="0" xfId="37" applyFont="1" applyFill="1" applyProtection="1"/>
    <xf numFmtId="4" fontId="44" fillId="0" borderId="0" xfId="37" applyNumberFormat="1" applyFont="1" applyFill="1" applyProtection="1"/>
    <xf numFmtId="0" fontId="44" fillId="0" borderId="0" xfId="37" applyFont="1" applyProtection="1"/>
    <xf numFmtId="3" fontId="12" fillId="0" borderId="0" xfId="37" applyNumberFormat="1" applyFill="1" applyBorder="1" applyProtection="1"/>
    <xf numFmtId="0" fontId="44" fillId="0" borderId="0" xfId="37" applyFont="1" applyFill="1" applyBorder="1" applyAlignment="1" applyProtection="1">
      <alignment horizontal="justify"/>
    </xf>
    <xf numFmtId="0" fontId="31" fillId="0" borderId="0" xfId="37" applyFont="1" applyFill="1" applyBorder="1" applyAlignment="1" applyProtection="1">
      <alignment horizontal="center" vertical="center" wrapText="1"/>
    </xf>
    <xf numFmtId="4" fontId="31" fillId="0" borderId="0" xfId="37" applyNumberFormat="1" applyFont="1" applyFill="1" applyBorder="1" applyProtection="1"/>
    <xf numFmtId="0" fontId="44" fillId="0" borderId="0" xfId="37" applyFont="1" applyFill="1" applyBorder="1" applyAlignment="1" applyProtection="1">
      <alignment horizontal="justify"/>
      <protection locked="0"/>
    </xf>
    <xf numFmtId="0" fontId="31" fillId="0" borderId="0" xfId="37" applyFont="1" applyFill="1" applyBorder="1" applyAlignment="1" applyProtection="1">
      <alignment horizontal="center" vertical="center" wrapText="1"/>
      <protection locked="0"/>
    </xf>
    <xf numFmtId="4" fontId="12" fillId="0" borderId="0" xfId="37" applyNumberFormat="1" applyFill="1" applyBorder="1" applyProtection="1">
      <protection locked="0"/>
    </xf>
    <xf numFmtId="4" fontId="31" fillId="0" borderId="0" xfId="37" applyNumberFormat="1" applyFont="1" applyFill="1" applyBorder="1" applyProtection="1">
      <protection locked="0"/>
    </xf>
    <xf numFmtId="0" fontId="12" fillId="0" borderId="0" xfId="37" applyFill="1" applyBorder="1" applyProtection="1">
      <protection locked="0"/>
    </xf>
    <xf numFmtId="0" fontId="12" fillId="0" borderId="0" xfId="37" applyFill="1" applyProtection="1">
      <protection locked="0"/>
    </xf>
    <xf numFmtId="4" fontId="12" fillId="0" borderId="0" xfId="37" applyNumberFormat="1" applyFill="1" applyProtection="1">
      <protection locked="0"/>
    </xf>
    <xf numFmtId="0" fontId="12" fillId="0" borderId="0" xfId="37" applyProtection="1">
      <protection locked="0"/>
    </xf>
    <xf numFmtId="0" fontId="17" fillId="0" borderId="0" xfId="53" applyFont="1" applyAlignment="1" applyProtection="1">
      <alignment horizontal="center"/>
      <protection locked="0"/>
    </xf>
    <xf numFmtId="4" fontId="17" fillId="0" borderId="0" xfId="37" applyNumberFormat="1" applyFont="1" applyFill="1" applyBorder="1" applyAlignment="1" applyProtection="1">
      <protection locked="0"/>
    </xf>
    <xf numFmtId="4" fontId="12" fillId="0" borderId="0" xfId="37" applyNumberFormat="1" applyFill="1" applyBorder="1" applyAlignment="1" applyProtection="1">
      <protection locked="0"/>
    </xf>
    <xf numFmtId="0" fontId="32" fillId="0" borderId="0" xfId="0" applyFont="1" applyFill="1" applyProtection="1"/>
    <xf numFmtId="3" fontId="32" fillId="0" borderId="0" xfId="0" applyNumberFormat="1" applyFont="1" applyFill="1" applyProtection="1"/>
    <xf numFmtId="0" fontId="16" fillId="0" borderId="0" xfId="0" applyFont="1" applyFill="1" applyProtection="1"/>
    <xf numFmtId="3" fontId="16" fillId="0" borderId="0" xfId="0" applyNumberFormat="1" applyFont="1" applyFill="1" applyAlignment="1" applyProtection="1"/>
    <xf numFmtId="3" fontId="16" fillId="0" borderId="0" xfId="0" applyNumberFormat="1" applyFont="1" applyFill="1" applyProtection="1"/>
    <xf numFmtId="0" fontId="32" fillId="0" borderId="0" xfId="0" applyFont="1" applyFill="1" applyBorder="1" applyProtection="1"/>
    <xf numFmtId="0" fontId="16" fillId="0" borderId="0" xfId="0" applyFont="1" applyFill="1" applyBorder="1" applyProtection="1"/>
    <xf numFmtId="3" fontId="32" fillId="0" borderId="0" xfId="0" applyNumberFormat="1" applyFont="1" applyFill="1" applyBorder="1" applyAlignment="1" applyProtection="1">
      <alignment horizontal="center"/>
    </xf>
    <xf numFmtId="3" fontId="28" fillId="7" borderId="0" xfId="0" applyNumberFormat="1" applyFont="1" applyFill="1" applyAlignment="1" applyProtection="1">
      <alignment horizontal="center" vertical="center"/>
    </xf>
    <xf numFmtId="0" fontId="28" fillId="0" borderId="0" xfId="0" applyFont="1" applyFill="1" applyAlignment="1" applyProtection="1">
      <alignment horizontal="center"/>
    </xf>
    <xf numFmtId="0" fontId="30" fillId="0" borderId="0" xfId="0" applyFont="1" applyFill="1" applyProtection="1"/>
    <xf numFmtId="0" fontId="68" fillId="0" borderId="0" xfId="0" applyFont="1" applyFill="1" applyProtection="1"/>
    <xf numFmtId="0" fontId="32" fillId="0" borderId="0" xfId="0" applyFont="1" applyFill="1" applyBorder="1" applyAlignment="1" applyProtection="1">
      <alignment horizontal="center" vertical="top"/>
    </xf>
    <xf numFmtId="0" fontId="32" fillId="0" borderId="0" xfId="0" applyFont="1" applyFill="1" applyBorder="1" applyAlignment="1" applyProtection="1">
      <alignment horizontal="center" vertical="center"/>
    </xf>
    <xf numFmtId="0" fontId="16" fillId="0" borderId="0" xfId="0" applyFont="1" applyFill="1" applyBorder="1" applyAlignment="1" applyProtection="1">
      <alignment vertical="center" wrapText="1"/>
    </xf>
    <xf numFmtId="3" fontId="32" fillId="0" borderId="0" xfId="0" applyNumberFormat="1" applyFont="1" applyFill="1" applyBorder="1" applyAlignment="1" applyProtection="1">
      <alignment horizontal="center" vertical="center"/>
    </xf>
    <xf numFmtId="3" fontId="32" fillId="0" borderId="0" xfId="0" applyNumberFormat="1" applyFont="1" applyFill="1" applyBorder="1" applyAlignment="1" applyProtection="1">
      <alignment vertical="center"/>
    </xf>
    <xf numFmtId="0" fontId="32" fillId="0" borderId="0" xfId="0" applyFont="1" applyFill="1" applyAlignment="1" applyProtection="1">
      <alignment horizontal="center" vertical="top"/>
    </xf>
    <xf numFmtId="0" fontId="32" fillId="0" borderId="0" xfId="0" applyFont="1" applyFill="1" applyBorder="1" applyAlignment="1" applyProtection="1">
      <alignment vertical="top"/>
    </xf>
    <xf numFmtId="3" fontId="32" fillId="0" borderId="0" xfId="0" applyNumberFormat="1" applyFont="1" applyFill="1" applyBorder="1" applyAlignment="1" applyProtection="1">
      <alignment vertical="top"/>
    </xf>
    <xf numFmtId="3" fontId="32" fillId="0" borderId="0" xfId="0" applyNumberFormat="1" applyFont="1" applyFill="1" applyBorder="1" applyAlignment="1" applyProtection="1">
      <alignment horizontal="center" vertical="top"/>
    </xf>
    <xf numFmtId="0" fontId="0" fillId="0" borderId="0" xfId="0" applyFill="1" applyProtection="1">
      <protection locked="0"/>
    </xf>
    <xf numFmtId="1" fontId="0" fillId="0" borderId="0" xfId="0" applyNumberFormat="1" applyProtection="1">
      <protection locked="0"/>
    </xf>
    <xf numFmtId="1" fontId="0" fillId="0" borderId="0" xfId="0" applyNumberFormat="1" applyAlignment="1" applyProtection="1">
      <alignment horizontal="center"/>
      <protection locked="0"/>
    </xf>
    <xf numFmtId="1" fontId="0" fillId="0" borderId="0" xfId="0" applyNumberFormat="1" applyFill="1" applyProtection="1">
      <protection locked="0"/>
    </xf>
    <xf numFmtId="1" fontId="0" fillId="0" borderId="0" xfId="0" applyNumberFormat="1" applyAlignment="1" applyProtection="1">
      <alignment horizontal="center"/>
    </xf>
    <xf numFmtId="1" fontId="0" fillId="0" borderId="0" xfId="0" applyNumberFormat="1" applyFill="1" applyProtection="1"/>
    <xf numFmtId="1" fontId="0" fillId="0" borderId="0" xfId="0" applyNumberFormat="1" applyBorder="1" applyProtection="1"/>
    <xf numFmtId="1" fontId="41" fillId="0" borderId="0" xfId="0" applyNumberFormat="1" applyFont="1" applyFill="1" applyAlignment="1" applyProtection="1">
      <alignment horizontal="center"/>
    </xf>
    <xf numFmtId="1" fontId="53" fillId="0" borderId="0" xfId="52" applyNumberFormat="1" applyFont="1" applyFill="1" applyAlignment="1" applyProtection="1">
      <alignment horizontal="center"/>
    </xf>
    <xf numFmtId="1" fontId="0" fillId="0" borderId="0" xfId="0" applyNumberFormat="1" applyBorder="1" applyAlignment="1" applyProtection="1">
      <alignment vertical="center"/>
    </xf>
    <xf numFmtId="1" fontId="0" fillId="0" borderId="0" xfId="68" applyNumberFormat="1" applyFont="1" applyFill="1" applyBorder="1" applyAlignment="1" applyProtection="1">
      <alignment vertical="center"/>
    </xf>
    <xf numFmtId="1" fontId="0" fillId="0" borderId="0" xfId="68" applyNumberFormat="1" applyFont="1" applyFill="1" applyBorder="1" applyAlignment="1" applyProtection="1">
      <alignment vertical="center"/>
      <protection locked="0"/>
    </xf>
    <xf numFmtId="1" fontId="12" fillId="0" borderId="0" xfId="0" applyNumberFormat="1" applyFont="1" applyBorder="1" applyAlignment="1" applyProtection="1">
      <alignment vertical="center"/>
    </xf>
    <xf numFmtId="1" fontId="69" fillId="0" borderId="0" xfId="0" applyNumberFormat="1" applyFont="1" applyFill="1" applyBorder="1" applyAlignment="1" applyProtection="1">
      <alignment vertical="center"/>
      <protection locked="0"/>
    </xf>
    <xf numFmtId="1" fontId="0" fillId="0" borderId="0" xfId="0" applyNumberFormat="1" applyFill="1" applyBorder="1" applyAlignment="1" applyProtection="1">
      <alignment vertical="center"/>
      <protection locked="0"/>
    </xf>
    <xf numFmtId="1" fontId="0" fillId="0" borderId="0" xfId="0" applyNumberFormat="1" applyFill="1" applyBorder="1" applyAlignment="1" applyProtection="1">
      <alignment vertical="center"/>
    </xf>
    <xf numFmtId="1" fontId="74" fillId="0" borderId="0" xfId="68" applyNumberFormat="1" applyFont="1" applyFill="1" applyBorder="1" applyAlignment="1" applyProtection="1">
      <alignment vertical="center"/>
    </xf>
    <xf numFmtId="1" fontId="74" fillId="0" borderId="0" xfId="68" applyNumberFormat="1" applyFont="1" applyFill="1" applyBorder="1" applyAlignment="1" applyProtection="1">
      <alignment vertical="center"/>
      <protection locked="0"/>
    </xf>
    <xf numFmtId="1" fontId="12" fillId="0" borderId="0" xfId="24" applyNumberFormat="1" applyFont="1" applyFill="1" applyBorder="1" applyAlignment="1" applyProtection="1">
      <alignment vertical="center" wrapText="1"/>
    </xf>
    <xf numFmtId="1" fontId="12" fillId="0" borderId="0" xfId="24" applyNumberFormat="1" applyFont="1" applyFill="1" applyBorder="1" applyAlignment="1" applyProtection="1">
      <alignment horizontal="center" vertical="center"/>
    </xf>
    <xf numFmtId="1" fontId="29" fillId="0" borderId="0" xfId="0" applyNumberFormat="1" applyFont="1" applyFill="1" applyAlignment="1" applyProtection="1"/>
    <xf numFmtId="1" fontId="29" fillId="0" borderId="0" xfId="0" applyNumberFormat="1" applyFont="1" applyAlignment="1" applyProtection="1"/>
    <xf numFmtId="1" fontId="17" fillId="0" borderId="0" xfId="0" applyNumberFormat="1" applyFont="1" applyFill="1" applyAlignment="1" applyProtection="1">
      <protection locked="0"/>
    </xf>
    <xf numFmtId="1" fontId="26" fillId="0" borderId="0" xfId="0" applyNumberFormat="1" applyFont="1" applyFill="1" applyAlignment="1" applyProtection="1">
      <protection locked="0"/>
    </xf>
    <xf numFmtId="2" fontId="11" fillId="0" borderId="0" xfId="0" applyNumberFormat="1" applyFont="1" applyFill="1" applyProtection="1"/>
    <xf numFmtId="2" fontId="72" fillId="0" borderId="0" xfId="0" applyNumberFormat="1" applyFont="1" applyFill="1" applyProtection="1"/>
    <xf numFmtId="2" fontId="0" fillId="0" borderId="0" xfId="0" applyNumberFormat="1" applyFill="1" applyProtection="1"/>
    <xf numFmtId="2" fontId="26" fillId="0" borderId="0" xfId="0" applyNumberFormat="1" applyFont="1" applyFill="1" applyProtection="1"/>
    <xf numFmtId="2" fontId="41" fillId="0" borderId="0" xfId="0" applyNumberFormat="1" applyFont="1" applyFill="1" applyBorder="1" applyProtection="1"/>
    <xf numFmtId="2" fontId="0" fillId="0" borderId="0" xfId="0" applyNumberFormat="1" applyBorder="1" applyProtection="1"/>
    <xf numFmtId="2" fontId="26" fillId="0" borderId="0" xfId="0" applyNumberFormat="1" applyFont="1" applyProtection="1"/>
    <xf numFmtId="2" fontId="53" fillId="0" borderId="0" xfId="0" applyNumberFormat="1" applyFont="1" applyFill="1" applyBorder="1" applyProtection="1"/>
    <xf numFmtId="2" fontId="27" fillId="0" borderId="0" xfId="0" applyNumberFormat="1" applyFont="1" applyProtection="1"/>
    <xf numFmtId="2" fontId="80" fillId="0" borderId="0" xfId="0" applyNumberFormat="1" applyFont="1" applyFill="1" applyBorder="1" applyProtection="1"/>
    <xf numFmtId="2" fontId="82" fillId="0" borderId="0" xfId="0" applyNumberFormat="1" applyFont="1" applyFill="1" applyAlignment="1" applyProtection="1">
      <alignment horizontal="center"/>
    </xf>
    <xf numFmtId="2" fontId="0" fillId="0" borderId="0" xfId="0" applyNumberFormat="1" applyFill="1" applyBorder="1" applyProtection="1"/>
    <xf numFmtId="2" fontId="29" fillId="0" borderId="0" xfId="0" applyNumberFormat="1" applyFont="1" applyFill="1" applyAlignment="1" applyProtection="1"/>
    <xf numFmtId="2" fontId="26" fillId="0" borderId="0" xfId="0" applyNumberFormat="1" applyFont="1" applyFill="1" applyAlignment="1" applyProtection="1"/>
    <xf numFmtId="2" fontId="17" fillId="0" borderId="0" xfId="0" applyNumberFormat="1" applyFont="1" applyFill="1" applyAlignment="1" applyProtection="1"/>
    <xf numFmtId="2" fontId="16" fillId="0" borderId="0" xfId="0" applyNumberFormat="1" applyFont="1" applyAlignment="1" applyProtection="1"/>
    <xf numFmtId="2" fontId="31" fillId="0" borderId="0" xfId="0" applyNumberFormat="1" applyFont="1" applyAlignment="1" applyProtection="1"/>
    <xf numFmtId="2" fontId="0" fillId="0" borderId="0" xfId="0" applyNumberFormat="1" applyBorder="1" applyAlignment="1" applyProtection="1">
      <alignment vertical="center"/>
    </xf>
    <xf numFmtId="2" fontId="26" fillId="0" borderId="0" xfId="0" applyNumberFormat="1" applyFont="1" applyFill="1" applyBorder="1" applyAlignment="1" applyProtection="1">
      <alignment vertical="center"/>
    </xf>
    <xf numFmtId="2" fontId="53" fillId="0" borderId="0" xfId="0" applyNumberFormat="1" applyFont="1" applyFill="1" applyBorder="1" applyAlignment="1" applyProtection="1">
      <alignment vertical="center"/>
    </xf>
    <xf numFmtId="2" fontId="17" fillId="0" borderId="0" xfId="0" applyNumberFormat="1" applyFont="1" applyAlignment="1" applyProtection="1"/>
    <xf numFmtId="2" fontId="12" fillId="0" borderId="0" xfId="0" applyNumberFormat="1" applyFont="1" applyProtection="1"/>
    <xf numFmtId="0" fontId="11" fillId="0" borderId="0" xfId="0" applyFont="1" applyAlignment="1" applyProtection="1">
      <alignment vertical="center"/>
    </xf>
    <xf numFmtId="0" fontId="11" fillId="0" borderId="0" xfId="0" applyFont="1" applyAlignment="1" applyProtection="1"/>
    <xf numFmtId="3" fontId="11" fillId="0" borderId="0" xfId="0" applyNumberFormat="1" applyFont="1" applyProtection="1"/>
    <xf numFmtId="0" fontId="32" fillId="0" borderId="0" xfId="0" applyFont="1" applyBorder="1" applyAlignment="1" applyProtection="1"/>
    <xf numFmtId="0" fontId="32" fillId="0" borderId="0" xfId="0" applyFont="1" applyBorder="1" applyAlignment="1" applyProtection="1">
      <alignment vertical="center"/>
    </xf>
    <xf numFmtId="3" fontId="32" fillId="0" borderId="0" xfId="0" applyNumberFormat="1" applyFont="1" applyBorder="1" applyAlignment="1" applyProtection="1"/>
    <xf numFmtId="0" fontId="72" fillId="0" borderId="0" xfId="0" applyFont="1" applyProtection="1"/>
    <xf numFmtId="3" fontId="11" fillId="0" borderId="0" xfId="0" applyNumberFormat="1" applyFont="1" applyAlignment="1" applyProtection="1"/>
    <xf numFmtId="3" fontId="11" fillId="0" borderId="0" xfId="0" applyNumberFormat="1" applyFont="1" applyFill="1" applyAlignment="1" applyProtection="1"/>
    <xf numFmtId="0" fontId="11" fillId="0" borderId="0" xfId="0" applyFont="1" applyFill="1" applyAlignment="1" applyProtection="1"/>
    <xf numFmtId="0" fontId="72" fillId="0" borderId="0" xfId="0" applyFont="1" applyFill="1" applyProtection="1"/>
    <xf numFmtId="3" fontId="11" fillId="0" borderId="0" xfId="0" applyNumberFormat="1" applyFont="1" applyAlignment="1" applyProtection="1">
      <alignment vertical="center"/>
    </xf>
    <xf numFmtId="0" fontId="72" fillId="0" borderId="0" xfId="0" applyFont="1" applyAlignment="1" applyProtection="1">
      <alignment vertical="center"/>
    </xf>
    <xf numFmtId="3" fontId="76" fillId="0" borderId="0" xfId="0" applyNumberFormat="1" applyFont="1" applyAlignment="1" applyProtection="1">
      <alignment vertical="center"/>
    </xf>
    <xf numFmtId="0" fontId="76" fillId="0" borderId="0" xfId="0" applyFont="1" applyAlignment="1" applyProtection="1">
      <alignment vertical="center"/>
    </xf>
    <xf numFmtId="0" fontId="75" fillId="0" borderId="0" xfId="0" applyFont="1" applyAlignment="1" applyProtection="1">
      <alignment vertical="center"/>
    </xf>
    <xf numFmtId="3" fontId="41" fillId="0" borderId="0" xfId="0" applyNumberFormat="1" applyFont="1" applyAlignment="1" applyProtection="1">
      <alignment vertical="center"/>
    </xf>
    <xf numFmtId="0" fontId="41" fillId="0" borderId="0" xfId="0" applyFont="1" applyAlignment="1" applyProtection="1">
      <alignment vertical="center"/>
    </xf>
    <xf numFmtId="0" fontId="79" fillId="0" borderId="0" xfId="0" applyFont="1" applyAlignment="1" applyProtection="1">
      <alignment vertical="center"/>
    </xf>
    <xf numFmtId="1" fontId="11" fillId="0" borderId="0" xfId="0" applyNumberFormat="1" applyFont="1" applyAlignment="1" applyProtection="1"/>
    <xf numFmtId="1" fontId="72" fillId="0" borderId="0" xfId="0" applyNumberFormat="1" applyFont="1" applyProtection="1"/>
    <xf numFmtId="0" fontId="11" fillId="0" borderId="0" xfId="0" applyFont="1" applyBorder="1" applyProtection="1"/>
    <xf numFmtId="0" fontId="11" fillId="0" borderId="0" xfId="0" applyFont="1" applyBorder="1" applyAlignment="1" applyProtection="1">
      <alignment horizontal="center" vertical="center"/>
    </xf>
    <xf numFmtId="0" fontId="11" fillId="0" borderId="0" xfId="0" applyFont="1" applyBorder="1" applyAlignment="1" applyProtection="1">
      <alignment horizontal="center"/>
    </xf>
    <xf numFmtId="3" fontId="87" fillId="0" borderId="0" xfId="0" applyNumberFormat="1" applyFont="1" applyFill="1" applyBorder="1" applyProtection="1"/>
    <xf numFmtId="3" fontId="11" fillId="0" borderId="0" xfId="0" applyNumberFormat="1" applyFont="1" applyFill="1" applyBorder="1" applyProtection="1"/>
    <xf numFmtId="3" fontId="45" fillId="0" borderId="0" xfId="0" applyNumberFormat="1" applyFont="1" applyFill="1" applyBorder="1" applyAlignment="1" applyProtection="1">
      <alignment vertical="center"/>
    </xf>
    <xf numFmtId="0" fontId="72" fillId="0" borderId="0" xfId="0" applyFont="1" applyBorder="1" applyAlignment="1" applyProtection="1">
      <alignment vertical="center"/>
    </xf>
    <xf numFmtId="0" fontId="72" fillId="0" borderId="0" xfId="0" applyFont="1" applyBorder="1" applyProtection="1"/>
    <xf numFmtId="0" fontId="0" fillId="0" borderId="0" xfId="0" applyBorder="1" applyAlignment="1" applyProtection="1">
      <alignment vertical="center"/>
    </xf>
    <xf numFmtId="0" fontId="69" fillId="0" borderId="0" xfId="0" applyFont="1" applyBorder="1" applyAlignment="1" applyProtection="1">
      <alignment vertical="center"/>
    </xf>
    <xf numFmtId="0" fontId="17" fillId="0" borderId="0" xfId="0" applyFont="1" applyFill="1" applyBorder="1" applyAlignment="1" applyProtection="1"/>
    <xf numFmtId="0" fontId="29" fillId="0" borderId="0" xfId="0" applyFont="1" applyFill="1" applyBorder="1" applyAlignment="1" applyProtection="1"/>
    <xf numFmtId="0" fontId="0" fillId="0" borderId="0" xfId="0" applyBorder="1" applyProtection="1">
      <protection locked="0"/>
    </xf>
    <xf numFmtId="0" fontId="16" fillId="0" borderId="0" xfId="0" applyFont="1" applyBorder="1" applyAlignment="1" applyProtection="1">
      <protection locked="0"/>
    </xf>
    <xf numFmtId="0" fontId="17" fillId="0" borderId="0" xfId="0" applyFont="1" applyBorder="1" applyAlignment="1" applyProtection="1">
      <protection locked="0"/>
    </xf>
    <xf numFmtId="0" fontId="18" fillId="0" borderId="0" xfId="0" applyFont="1" applyFill="1" applyBorder="1" applyAlignment="1" applyProtection="1">
      <alignment horizontal="center"/>
      <protection locked="0"/>
    </xf>
    <xf numFmtId="0" fontId="17" fillId="0" borderId="0" xfId="0" applyFont="1" applyFill="1" applyBorder="1" applyAlignment="1" applyProtection="1">
      <protection locked="0"/>
    </xf>
    <xf numFmtId="0" fontId="29" fillId="0" borderId="0" xfId="0" applyFont="1" applyBorder="1" applyAlignment="1" applyProtection="1">
      <protection locked="0"/>
    </xf>
    <xf numFmtId="3" fontId="17" fillId="0" borderId="0" xfId="0" applyNumberFormat="1"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2" fillId="0" borderId="0" xfId="0" applyFont="1" applyBorder="1" applyProtection="1">
      <protection locked="0"/>
    </xf>
    <xf numFmtId="0" fontId="31" fillId="0" borderId="46" xfId="0" applyFont="1" applyBorder="1" applyAlignment="1" applyProtection="1">
      <protection locked="0"/>
    </xf>
    <xf numFmtId="0" fontId="56" fillId="0" borderId="46" xfId="0" applyFont="1" applyBorder="1" applyAlignment="1" applyProtection="1">
      <protection locked="0"/>
    </xf>
    <xf numFmtId="3" fontId="45" fillId="0" borderId="0" xfId="0" applyNumberFormat="1" applyFont="1" applyFill="1" applyBorder="1" applyAlignment="1" applyProtection="1"/>
    <xf numFmtId="0" fontId="18" fillId="0" borderId="0" xfId="0" applyFont="1" applyFill="1" applyAlignment="1">
      <alignment horizontal="center"/>
    </xf>
    <xf numFmtId="0" fontId="29" fillId="0" borderId="0" xfId="22" applyFont="1" applyAlignment="1" applyProtection="1"/>
    <xf numFmtId="0" fontId="12" fillId="0" borderId="0" xfId="22" applyFont="1" applyAlignment="1" applyProtection="1">
      <alignment horizontal="right"/>
    </xf>
    <xf numFmtId="3" fontId="12" fillId="0" borderId="0" xfId="22" applyNumberFormat="1" applyFont="1" applyBorder="1" applyProtection="1"/>
    <xf numFmtId="0" fontId="17" fillId="0" borderId="0" xfId="0" applyFont="1" applyAlignment="1" applyProtection="1">
      <alignment horizontal="center"/>
    </xf>
    <xf numFmtId="0" fontId="17" fillId="0" borderId="0" xfId="0" applyFont="1" applyProtection="1"/>
    <xf numFmtId="2" fontId="29" fillId="0" borderId="0" xfId="22" applyNumberFormat="1" applyFont="1" applyAlignment="1" applyProtection="1">
      <alignment horizontal="center"/>
    </xf>
    <xf numFmtId="0" fontId="26" fillId="0" borderId="0" xfId="22" applyFont="1" applyAlignment="1" applyProtection="1"/>
    <xf numFmtId="0" fontId="12" fillId="0" borderId="0" xfId="22" applyFont="1" applyProtection="1"/>
    <xf numFmtId="0" fontId="26" fillId="0" borderId="0" xfId="0" applyFont="1" applyAlignment="1" applyProtection="1"/>
    <xf numFmtId="0" fontId="41" fillId="0" borderId="0" xfId="0" applyFont="1" applyProtection="1"/>
    <xf numFmtId="0" fontId="26" fillId="0" borderId="0" xfId="0" applyFont="1" applyFill="1" applyProtection="1">
      <protection locked="0"/>
    </xf>
    <xf numFmtId="0" fontId="42" fillId="0" borderId="0" xfId="0" applyFont="1" applyAlignment="1" applyProtection="1">
      <alignment horizontal="center"/>
    </xf>
    <xf numFmtId="0" fontId="88" fillId="0" borderId="0" xfId="0" applyFont="1" applyAlignment="1" applyProtection="1">
      <alignment horizontal="center"/>
    </xf>
    <xf numFmtId="2" fontId="16" fillId="0" borderId="0" xfId="0" applyNumberFormat="1" applyFont="1" applyFill="1" applyAlignment="1" applyProtection="1">
      <protection locked="0"/>
    </xf>
    <xf numFmtId="0" fontId="89" fillId="0" borderId="0" xfId="0" applyFont="1" applyFill="1" applyAlignment="1" applyProtection="1">
      <alignment horizontal="center"/>
    </xf>
    <xf numFmtId="0" fontId="31" fillId="0" borderId="0" xfId="0" applyFont="1" applyFill="1" applyProtection="1"/>
    <xf numFmtId="0" fontId="13" fillId="0" borderId="0" xfId="0" applyFont="1" applyFill="1" applyProtection="1"/>
    <xf numFmtId="0" fontId="13" fillId="0" borderId="0" xfId="0" applyFont="1" applyFill="1" applyBorder="1" applyAlignment="1" applyProtection="1">
      <alignment horizontal="center"/>
    </xf>
    <xf numFmtId="0" fontId="13" fillId="0" borderId="0" xfId="0" applyFont="1" applyFill="1" applyAlignment="1" applyProtection="1">
      <alignment vertical="center"/>
    </xf>
    <xf numFmtId="3" fontId="43" fillId="10" borderId="0" xfId="0" applyNumberFormat="1" applyFont="1" applyFill="1" applyProtection="1"/>
    <xf numFmtId="0" fontId="91" fillId="10" borderId="0" xfId="52" applyFont="1" applyFill="1" applyAlignment="1" applyProtection="1">
      <alignment horizontal="center"/>
    </xf>
    <xf numFmtId="3" fontId="46" fillId="0" borderId="0" xfId="0" applyNumberFormat="1" applyFont="1" applyFill="1" applyProtection="1"/>
    <xf numFmtId="3" fontId="13" fillId="0" borderId="0" xfId="0" applyNumberFormat="1" applyFont="1" applyFill="1" applyProtection="1"/>
    <xf numFmtId="3" fontId="43" fillId="0" borderId="0" xfId="0" applyNumberFormat="1" applyFont="1" applyFill="1" applyProtection="1"/>
    <xf numFmtId="0" fontId="92" fillId="0" borderId="0" xfId="52" applyFont="1" applyFill="1" applyAlignment="1" applyProtection="1">
      <alignment horizontal="center"/>
    </xf>
    <xf numFmtId="0" fontId="74" fillId="0" borderId="0" xfId="0" applyFont="1" applyFill="1" applyProtection="1"/>
    <xf numFmtId="0" fontId="31" fillId="0" borderId="0" xfId="0" applyFont="1" applyFill="1" applyAlignment="1" applyProtection="1">
      <alignment horizontal="center"/>
    </xf>
    <xf numFmtId="0" fontId="29" fillId="0" borderId="0" xfId="0" applyFont="1" applyFill="1" applyProtection="1"/>
    <xf numFmtId="0" fontId="44" fillId="0" borderId="0" xfId="0" applyFont="1" applyFill="1" applyAlignment="1" applyProtection="1"/>
    <xf numFmtId="0" fontId="93" fillId="0" borderId="0" xfId="0" applyFont="1" applyFill="1" applyAlignment="1" applyProtection="1"/>
    <xf numFmtId="0" fontId="12" fillId="0" borderId="0" xfId="36" applyFill="1" applyProtection="1"/>
    <xf numFmtId="2" fontId="16" fillId="0" borderId="0" xfId="22" applyNumberFormat="1" applyFont="1" applyFill="1" applyAlignment="1" applyProtection="1">
      <protection locked="0"/>
    </xf>
    <xf numFmtId="2" fontId="31" fillId="0" borderId="0" xfId="36" applyNumberFormat="1" applyFont="1" applyFill="1" applyProtection="1"/>
    <xf numFmtId="0" fontId="13" fillId="0" borderId="0" xfId="36" applyFont="1" applyFill="1" applyProtection="1"/>
    <xf numFmtId="0" fontId="58" fillId="0" borderId="0" xfId="36" applyFont="1" applyFill="1" applyProtection="1"/>
    <xf numFmtId="0" fontId="31" fillId="0" borderId="0" xfId="36" applyFont="1" applyFill="1" applyProtection="1"/>
    <xf numFmtId="0" fontId="29" fillId="0" borderId="0" xfId="36" applyFont="1" applyFill="1" applyProtection="1"/>
    <xf numFmtId="0" fontId="13" fillId="0" borderId="0" xfId="36" applyFont="1" applyFill="1" applyBorder="1" applyProtection="1"/>
    <xf numFmtId="0" fontId="27" fillId="0" borderId="0" xfId="36" applyFont="1" applyFill="1" applyProtection="1"/>
    <xf numFmtId="0" fontId="27" fillId="0" borderId="0" xfId="36" applyFont="1" applyFill="1" applyBorder="1" applyProtection="1"/>
    <xf numFmtId="0" fontId="13" fillId="0" borderId="0" xfId="36" applyFont="1" applyFill="1" applyAlignment="1" applyProtection="1">
      <alignment horizontal="center"/>
    </xf>
    <xf numFmtId="0" fontId="44" fillId="0" borderId="0" xfId="36" applyFont="1" applyFill="1" applyProtection="1"/>
    <xf numFmtId="0" fontId="27" fillId="0" borderId="29" xfId="36" applyFont="1" applyFill="1" applyBorder="1" applyAlignment="1" applyProtection="1">
      <alignment horizontal="center" vertical="center"/>
    </xf>
    <xf numFmtId="0" fontId="27" fillId="0" borderId="0" xfId="36" applyFont="1" applyFill="1" applyAlignment="1" applyProtection="1">
      <alignment vertical="center"/>
    </xf>
    <xf numFmtId="0" fontId="12" fillId="0" borderId="0" xfId="36" applyFill="1" applyAlignment="1" applyProtection="1">
      <alignment vertical="center"/>
    </xf>
    <xf numFmtId="0" fontId="74" fillId="0" borderId="0" xfId="36" applyFont="1" applyFill="1" applyProtection="1"/>
    <xf numFmtId="168" fontId="28" fillId="0" borderId="0" xfId="20" applyFont="1" applyFill="1" applyBorder="1" applyAlignment="1" applyProtection="1">
      <alignment horizontal="center"/>
    </xf>
    <xf numFmtId="0" fontId="29" fillId="0" borderId="0" xfId="36" applyFont="1" applyFill="1" applyAlignment="1" applyProtection="1">
      <alignment horizontal="center"/>
    </xf>
    <xf numFmtId="0" fontId="17" fillId="0" borderId="0" xfId="22" applyFont="1" applyFill="1" applyAlignment="1" applyProtection="1"/>
    <xf numFmtId="0" fontId="29" fillId="0" borderId="0" xfId="36" applyFont="1" applyFill="1" applyAlignment="1" applyProtection="1"/>
    <xf numFmtId="0" fontId="29" fillId="0" borderId="0" xfId="22" applyFont="1" applyFill="1" applyAlignment="1" applyProtection="1"/>
    <xf numFmtId="0" fontId="17" fillId="0" borderId="0" xfId="0" applyFont="1" applyFill="1" applyProtection="1"/>
    <xf numFmtId="0" fontId="16" fillId="0" borderId="0" xfId="0" applyFont="1" applyFill="1" applyAlignment="1" applyProtection="1">
      <alignment horizontal="center"/>
    </xf>
    <xf numFmtId="0" fontId="29" fillId="0" borderId="0" xfId="36" applyFont="1" applyFill="1" applyAlignment="1" applyProtection="1">
      <protection locked="0"/>
    </xf>
    <xf numFmtId="0" fontId="0" fillId="0" borderId="0" xfId="0" applyFill="1" applyAlignment="1" applyProtection="1">
      <alignment horizontal="center"/>
    </xf>
    <xf numFmtId="0" fontId="12" fillId="0" borderId="0" xfId="36" applyFont="1" applyFill="1" applyProtection="1"/>
    <xf numFmtId="0" fontId="74" fillId="0" borderId="49" xfId="36" applyFont="1" applyFill="1" applyBorder="1" applyAlignment="1" applyProtection="1">
      <alignment vertical="center" wrapText="1"/>
    </xf>
    <xf numFmtId="0" fontId="58" fillId="0" borderId="0" xfId="36" applyFont="1" applyFill="1" applyBorder="1" applyProtection="1"/>
    <xf numFmtId="168" fontId="95" fillId="10" borderId="37" xfId="36" applyNumberFormat="1" applyFont="1" applyFill="1" applyBorder="1" applyProtection="1"/>
    <xf numFmtId="0" fontId="58" fillId="0" borderId="0" xfId="36" applyFont="1" applyFill="1" applyBorder="1" applyAlignment="1" applyProtection="1">
      <alignment vertical="center"/>
    </xf>
    <xf numFmtId="0" fontId="58" fillId="0" borderId="0" xfId="36" applyFont="1" applyFill="1" applyAlignment="1" applyProtection="1">
      <alignment vertical="center"/>
    </xf>
    <xf numFmtId="0" fontId="13" fillId="0" borderId="0" xfId="36" applyFont="1" applyFill="1" applyAlignment="1" applyProtection="1">
      <alignment vertical="center"/>
    </xf>
    <xf numFmtId="3" fontId="12" fillId="0" borderId="0" xfId="36" applyNumberFormat="1" applyFont="1" applyFill="1" applyBorder="1" applyAlignment="1" applyProtection="1">
      <alignment horizontal="right" vertical="center"/>
    </xf>
    <xf numFmtId="3" fontId="13" fillId="0" borderId="0" xfId="36" applyNumberFormat="1" applyFont="1" applyFill="1" applyBorder="1" applyAlignment="1" applyProtection="1">
      <alignment horizontal="right" vertical="center"/>
    </xf>
    <xf numFmtId="0" fontId="69" fillId="0" borderId="0" xfId="53" applyFont="1" applyFill="1" applyAlignment="1" applyProtection="1">
      <alignment horizontal="center"/>
    </xf>
    <xf numFmtId="0" fontId="12" fillId="0" borderId="0" xfId="35" applyFill="1" applyProtection="1"/>
    <xf numFmtId="0" fontId="15" fillId="0" borderId="0" xfId="35" applyFont="1" applyFill="1" applyProtection="1"/>
    <xf numFmtId="0" fontId="58" fillId="0" borderId="0" xfId="35" applyFont="1" applyFill="1" applyProtection="1"/>
    <xf numFmtId="0" fontId="13" fillId="0" borderId="0" xfId="35" applyFont="1" applyFill="1" applyProtection="1"/>
    <xf numFmtId="2" fontId="29" fillId="0" borderId="0" xfId="35" applyNumberFormat="1" applyFont="1" applyFill="1" applyProtection="1"/>
    <xf numFmtId="0" fontId="58" fillId="0" borderId="0" xfId="35" applyFont="1" applyFill="1" applyAlignment="1" applyProtection="1"/>
    <xf numFmtId="0" fontId="27" fillId="0" borderId="0" xfId="35" applyFont="1" applyFill="1" applyProtection="1"/>
    <xf numFmtId="0" fontId="58" fillId="0" borderId="0" xfId="35" applyFont="1" applyFill="1" applyBorder="1" applyProtection="1"/>
    <xf numFmtId="0" fontId="44" fillId="0" borderId="0" xfId="35" applyFont="1" applyFill="1" applyProtection="1"/>
    <xf numFmtId="0" fontId="31" fillId="0" borderId="6" xfId="35" applyFont="1" applyFill="1" applyBorder="1" applyAlignment="1" applyProtection="1">
      <alignment wrapText="1"/>
    </xf>
    <xf numFmtId="0" fontId="27" fillId="0" borderId="6" xfId="35" applyFont="1" applyFill="1" applyBorder="1" applyAlignment="1" applyProtection="1">
      <alignment horizontal="center"/>
    </xf>
    <xf numFmtId="0" fontId="12" fillId="0" borderId="27" xfId="35" applyFont="1" applyFill="1" applyBorder="1" applyAlignment="1" applyProtection="1">
      <alignment horizontal="center"/>
    </xf>
    <xf numFmtId="0" fontId="12" fillId="0" borderId="28" xfId="35" applyFont="1" applyFill="1" applyBorder="1" applyAlignment="1" applyProtection="1">
      <alignment horizontal="center"/>
    </xf>
    <xf numFmtId="3" fontId="13" fillId="0" borderId="28" xfId="35" applyNumberFormat="1" applyFont="1" applyFill="1" applyBorder="1" applyAlignment="1" applyProtection="1">
      <alignment horizontal="right" vertical="center"/>
    </xf>
    <xf numFmtId="3" fontId="13" fillId="0" borderId="8" xfId="35" applyNumberFormat="1" applyFont="1" applyFill="1" applyBorder="1" applyAlignment="1" applyProtection="1">
      <alignment horizontal="right" vertical="center"/>
    </xf>
    <xf numFmtId="0" fontId="74" fillId="0" borderId="10" xfId="35" applyFont="1" applyFill="1" applyBorder="1" applyAlignment="1" applyProtection="1">
      <alignment wrapText="1"/>
    </xf>
    <xf numFmtId="0" fontId="27" fillId="0" borderId="10" xfId="35" applyFont="1" applyFill="1" applyBorder="1" applyAlignment="1" applyProtection="1">
      <alignment horizontal="center"/>
    </xf>
    <xf numFmtId="0" fontId="12" fillId="0" borderId="22" xfId="35" applyFont="1" applyFill="1" applyBorder="1" applyAlignment="1" applyProtection="1">
      <alignment horizontal="center"/>
    </xf>
    <xf numFmtId="0" fontId="12" fillId="0" borderId="29" xfId="35" applyFont="1" applyFill="1" applyBorder="1" applyAlignment="1" applyProtection="1">
      <alignment horizontal="center"/>
    </xf>
    <xf numFmtId="3" fontId="13" fillId="0" borderId="29" xfId="35" applyNumberFormat="1" applyFont="1" applyFill="1" applyBorder="1" applyAlignment="1" applyProtection="1">
      <alignment horizontal="right" vertical="center"/>
      <protection locked="0"/>
    </xf>
    <xf numFmtId="3" fontId="13" fillId="0" borderId="12" xfId="35" applyNumberFormat="1" applyFont="1" applyFill="1" applyBorder="1" applyAlignment="1" applyProtection="1">
      <alignment horizontal="right" vertical="center"/>
      <protection locked="0"/>
    </xf>
    <xf numFmtId="0" fontId="31" fillId="0" borderId="10" xfId="35" applyFont="1" applyFill="1" applyBorder="1" applyAlignment="1" applyProtection="1">
      <alignment wrapText="1"/>
    </xf>
    <xf numFmtId="3" fontId="13" fillId="0" borderId="29" xfId="35" applyNumberFormat="1" applyFont="1" applyFill="1" applyBorder="1" applyAlignment="1" applyProtection="1">
      <alignment horizontal="right" vertical="center"/>
    </xf>
    <xf numFmtId="3" fontId="13" fillId="0" borderId="12" xfId="35" applyNumberFormat="1" applyFont="1" applyFill="1" applyBorder="1" applyAlignment="1" applyProtection="1">
      <alignment horizontal="right" vertical="center"/>
    </xf>
    <xf numFmtId="0" fontId="31" fillId="0" borderId="10" xfId="35" applyFont="1" applyFill="1" applyBorder="1" applyProtection="1"/>
    <xf numFmtId="0" fontId="74" fillId="0" borderId="10" xfId="35" applyFont="1" applyFill="1" applyBorder="1" applyProtection="1"/>
    <xf numFmtId="0" fontId="12" fillId="0" borderId="22" xfId="35" applyFont="1" applyFill="1" applyBorder="1" applyProtection="1"/>
    <xf numFmtId="0" fontId="27" fillId="0" borderId="10" xfId="36" applyFont="1" applyFill="1" applyBorder="1" applyAlignment="1" applyProtection="1">
      <alignment horizontal="center" vertical="center"/>
    </xf>
    <xf numFmtId="0" fontId="74" fillId="0" borderId="10" xfId="35" applyFont="1" applyFill="1" applyBorder="1" applyAlignment="1" applyProtection="1">
      <alignment vertical="center" wrapText="1"/>
    </xf>
    <xf numFmtId="0" fontId="28" fillId="10" borderId="0" xfId="53" applyFont="1" applyFill="1" applyAlignment="1" applyProtection="1">
      <alignment horizontal="center"/>
    </xf>
    <xf numFmtId="0" fontId="31" fillId="0" borderId="13" xfId="35" applyFont="1" applyFill="1" applyBorder="1" applyAlignment="1" applyProtection="1">
      <alignment wrapText="1"/>
    </xf>
    <xf numFmtId="0" fontId="27" fillId="0" borderId="13" xfId="36" applyFont="1" applyFill="1" applyBorder="1" applyAlignment="1" applyProtection="1">
      <alignment horizontal="center" vertical="center"/>
    </xf>
    <xf numFmtId="0" fontId="12" fillId="0" borderId="24" xfId="35" applyFont="1" applyFill="1" applyBorder="1" applyAlignment="1" applyProtection="1">
      <alignment horizontal="center"/>
    </xf>
    <xf numFmtId="0" fontId="12" fillId="0" borderId="35" xfId="35" applyFont="1" applyFill="1" applyBorder="1" applyAlignment="1" applyProtection="1">
      <alignment horizontal="center"/>
    </xf>
    <xf numFmtId="0" fontId="28" fillId="0" borderId="0" xfId="53" applyFont="1" applyFill="1" applyAlignment="1" applyProtection="1">
      <alignment horizontal="center"/>
    </xf>
    <xf numFmtId="0" fontId="96" fillId="0" borderId="0" xfId="35" applyFont="1" applyFill="1" applyProtection="1"/>
    <xf numFmtId="0" fontId="15" fillId="0" borderId="0" xfId="22" applyFont="1" applyFill="1" applyAlignment="1" applyProtection="1"/>
    <xf numFmtId="0" fontId="29" fillId="0" borderId="0" xfId="35" applyFont="1" applyFill="1" applyAlignment="1" applyProtection="1"/>
    <xf numFmtId="0" fontId="28" fillId="0" borderId="0" xfId="35" applyFont="1" applyFill="1" applyProtection="1"/>
    <xf numFmtId="0" fontId="19" fillId="0" borderId="0" xfId="35" applyFont="1" applyFill="1" applyProtection="1"/>
    <xf numFmtId="0" fontId="97" fillId="0" borderId="0" xfId="35" applyFont="1" applyFill="1" applyProtection="1"/>
    <xf numFmtId="0" fontId="29" fillId="0" borderId="0" xfId="35" applyFont="1" applyFill="1" applyAlignment="1" applyProtection="1">
      <alignment horizontal="center"/>
    </xf>
    <xf numFmtId="0" fontId="27" fillId="0" borderId="29" xfId="35" applyFont="1" applyFill="1" applyBorder="1" applyAlignment="1" applyProtection="1">
      <alignment horizontal="center" vertical="center" wrapText="1"/>
    </xf>
    <xf numFmtId="0" fontId="29" fillId="0" borderId="0" xfId="35" applyFont="1" applyFill="1" applyProtection="1"/>
    <xf numFmtId="3" fontId="13" fillId="0" borderId="29" xfId="35" applyNumberFormat="1" applyFont="1" applyFill="1" applyBorder="1" applyAlignment="1" applyProtection="1">
      <alignment horizontal="center" vertical="center"/>
    </xf>
    <xf numFmtId="0" fontId="28" fillId="10" borderId="0" xfId="53" applyFont="1" applyFill="1" applyProtection="1"/>
    <xf numFmtId="0" fontId="28" fillId="0" borderId="0" xfId="53" applyFont="1" applyFill="1" applyProtection="1"/>
    <xf numFmtId="0" fontId="92" fillId="0" borderId="0" xfId="53" applyFont="1" applyFill="1" applyAlignment="1" applyProtection="1">
      <alignment horizontal="center"/>
    </xf>
    <xf numFmtId="3" fontId="29" fillId="0" borderId="29" xfId="35" applyNumberFormat="1" applyFont="1" applyFill="1" applyBorder="1" applyAlignment="1" applyProtection="1">
      <alignment horizontal="right" vertical="center"/>
    </xf>
    <xf numFmtId="3" fontId="30" fillId="10" borderId="0" xfId="53" applyNumberFormat="1" applyFont="1" applyFill="1" applyProtection="1"/>
    <xf numFmtId="0" fontId="88" fillId="0" borderId="0" xfId="0" applyFont="1" applyAlignment="1" applyProtection="1"/>
    <xf numFmtId="0" fontId="29" fillId="0" borderId="0" xfId="35" applyFont="1" applyFill="1" applyAlignment="1" applyProtection="1">
      <protection locked="0"/>
    </xf>
    <xf numFmtId="0" fontId="12" fillId="0" borderId="0" xfId="39"/>
    <xf numFmtId="0" fontId="12" fillId="0" borderId="0" xfId="39" applyProtection="1"/>
    <xf numFmtId="2" fontId="12" fillId="0" borderId="0" xfId="22" applyNumberFormat="1" applyFont="1" applyAlignment="1" applyProtection="1"/>
    <xf numFmtId="0" fontId="98" fillId="0" borderId="0" xfId="39" applyFont="1" applyAlignment="1" applyProtection="1">
      <alignment horizontal="left"/>
    </xf>
    <xf numFmtId="0" fontId="99" fillId="0" borderId="0" xfId="39" applyFont="1" applyAlignment="1" applyProtection="1">
      <alignment horizontal="center"/>
    </xf>
    <xf numFmtId="0" fontId="12" fillId="0" borderId="0" xfId="39" applyFont="1" applyProtection="1"/>
    <xf numFmtId="0" fontId="98" fillId="0" borderId="0" xfId="39" applyFont="1" applyAlignment="1" applyProtection="1">
      <alignment horizontal="center"/>
    </xf>
    <xf numFmtId="0" fontId="98" fillId="0" borderId="0" xfId="39" applyFont="1" applyAlignment="1" applyProtection="1">
      <alignment wrapText="1"/>
    </xf>
    <xf numFmtId="0" fontId="98" fillId="0" borderId="0" xfId="39" applyFont="1" applyProtection="1"/>
    <xf numFmtId="0" fontId="12" fillId="0" borderId="0" xfId="39" applyFont="1" applyBorder="1" applyAlignment="1" applyProtection="1">
      <alignment horizontal="left"/>
    </xf>
    <xf numFmtId="0" fontId="12" fillId="0" borderId="0" xfId="39" applyFont="1" applyBorder="1" applyProtection="1"/>
    <xf numFmtId="0" fontId="98" fillId="0" borderId="0" xfId="39" applyFont="1" applyBorder="1" applyAlignment="1" applyProtection="1">
      <alignment horizontal="right"/>
    </xf>
    <xf numFmtId="0" fontId="98" fillId="0" borderId="0" xfId="39" applyFont="1" applyAlignment="1" applyProtection="1">
      <alignment horizontal="right"/>
    </xf>
    <xf numFmtId="0" fontId="99" fillId="0" borderId="25" xfId="39" applyFont="1" applyBorder="1" applyAlignment="1" applyProtection="1">
      <alignment horizontal="center" vertical="center" wrapText="1"/>
    </xf>
    <xf numFmtId="0" fontId="99" fillId="0" borderId="26" xfId="39" applyFont="1" applyBorder="1" applyAlignment="1" applyProtection="1">
      <alignment horizontal="center" vertical="center" wrapText="1"/>
    </xf>
    <xf numFmtId="0" fontId="99" fillId="0" borderId="26" xfId="39" applyFont="1" applyBorder="1" applyAlignment="1" applyProtection="1">
      <alignment horizontal="center" vertical="top" wrapText="1"/>
    </xf>
    <xf numFmtId="0" fontId="31" fillId="0" borderId="5" xfId="22" applyFont="1" applyBorder="1" applyAlignment="1" applyProtection="1">
      <alignment horizontal="center" vertical="center" wrapText="1"/>
    </xf>
    <xf numFmtId="0" fontId="98" fillId="0" borderId="40" xfId="39" applyFont="1" applyBorder="1" applyAlignment="1" applyProtection="1">
      <alignment horizontal="center" vertical="top" wrapText="1"/>
    </xf>
    <xf numFmtId="0" fontId="98" fillId="0" borderId="39" xfId="39" applyFont="1" applyBorder="1" applyAlignment="1" applyProtection="1">
      <alignment vertical="top" wrapText="1"/>
    </xf>
    <xf numFmtId="0" fontId="38" fillId="0" borderId="39" xfId="39" applyFont="1" applyBorder="1" applyAlignment="1" applyProtection="1">
      <alignment vertical="top" wrapText="1"/>
    </xf>
    <xf numFmtId="0" fontId="38" fillId="0" borderId="20" xfId="39" applyFont="1" applyBorder="1" applyAlignment="1" applyProtection="1">
      <alignment vertical="top" wrapText="1"/>
    </xf>
    <xf numFmtId="0" fontId="98" fillId="0" borderId="11" xfId="39" applyFont="1" applyBorder="1" applyAlignment="1" applyProtection="1">
      <alignment horizontal="center" vertical="top" wrapText="1"/>
    </xf>
    <xf numFmtId="0" fontId="98" fillId="0" borderId="29" xfId="39" applyFont="1" applyBorder="1" applyAlignment="1" applyProtection="1">
      <alignment horizontal="left" vertical="top" wrapText="1"/>
    </xf>
    <xf numFmtId="3" fontId="38" fillId="0" borderId="29" xfId="39" applyNumberFormat="1" applyFont="1" applyBorder="1" applyAlignment="1" applyProtection="1">
      <alignment vertical="top" wrapText="1"/>
    </xf>
    <xf numFmtId="3" fontId="38" fillId="0" borderId="12" xfId="39" applyNumberFormat="1" applyFont="1" applyBorder="1" applyAlignment="1" applyProtection="1">
      <alignment vertical="top" wrapText="1"/>
    </xf>
    <xf numFmtId="3" fontId="12" fillId="0" borderId="0" xfId="39" applyNumberFormat="1" applyProtection="1"/>
    <xf numFmtId="0" fontId="98" fillId="0" borderId="11" xfId="39" applyFont="1" applyBorder="1" applyAlignment="1" applyProtection="1">
      <alignment wrapText="1"/>
    </xf>
    <xf numFmtId="0" fontId="100" fillId="0" borderId="29" xfId="39" applyFont="1" applyBorder="1" applyAlignment="1" applyProtection="1">
      <alignment wrapText="1"/>
    </xf>
    <xf numFmtId="0" fontId="98" fillId="0" borderId="29" xfId="39" applyFont="1" applyBorder="1" applyProtection="1"/>
    <xf numFmtId="0" fontId="12" fillId="0" borderId="12" xfId="39" applyFont="1" applyBorder="1" applyProtection="1"/>
    <xf numFmtId="0" fontId="12" fillId="0" borderId="0" xfId="39" applyBorder="1" applyProtection="1"/>
    <xf numFmtId="3" fontId="101" fillId="0" borderId="29" xfId="39" applyNumberFormat="1" applyFont="1" applyBorder="1" applyProtection="1"/>
    <xf numFmtId="3" fontId="12" fillId="0" borderId="12" xfId="39" applyNumberFormat="1" applyFont="1" applyBorder="1" applyProtection="1"/>
    <xf numFmtId="0" fontId="12" fillId="0" borderId="0" xfId="39" applyBorder="1"/>
    <xf numFmtId="0" fontId="12" fillId="0" borderId="14" xfId="39" applyFont="1" applyBorder="1" applyProtection="1"/>
    <xf numFmtId="0" fontId="98" fillId="0" borderId="35" xfId="39" applyFont="1" applyBorder="1" applyAlignment="1" applyProtection="1">
      <alignment horizontal="left" vertical="top" wrapText="1"/>
    </xf>
    <xf numFmtId="3" fontId="38" fillId="0" borderId="35" xfId="39" applyNumberFormat="1" applyFont="1" applyBorder="1" applyProtection="1"/>
    <xf numFmtId="3" fontId="38" fillId="0" borderId="15" xfId="39" applyNumberFormat="1" applyFont="1" applyBorder="1" applyAlignment="1" applyProtection="1">
      <alignment horizontal="right"/>
    </xf>
    <xf numFmtId="0" fontId="99" fillId="0" borderId="0" xfId="39" applyFont="1" applyBorder="1" applyAlignment="1" applyProtection="1">
      <alignment horizontal="center" vertical="top" wrapText="1"/>
    </xf>
    <xf numFmtId="0" fontId="98" fillId="0" borderId="0" xfId="39" applyFont="1" applyBorder="1" applyAlignment="1" applyProtection="1">
      <alignment horizontal="center" vertical="top" wrapText="1"/>
    </xf>
    <xf numFmtId="0" fontId="19" fillId="0" borderId="0" xfId="22" applyFont="1" applyFill="1" applyAlignment="1" applyProtection="1">
      <alignment horizontal="center"/>
    </xf>
    <xf numFmtId="0" fontId="19" fillId="0" borderId="0" xfId="22" applyFont="1" applyFill="1" applyProtection="1"/>
    <xf numFmtId="0" fontId="38" fillId="0" borderId="0" xfId="39" applyFont="1" applyBorder="1" applyAlignment="1" applyProtection="1">
      <alignment vertical="top" wrapText="1"/>
    </xf>
    <xf numFmtId="0" fontId="12" fillId="0" borderId="0" xfId="39" applyFont="1" applyBorder="1" applyAlignment="1" applyProtection="1">
      <alignment horizontal="center"/>
    </xf>
    <xf numFmtId="3" fontId="38" fillId="0" borderId="12" xfId="39" applyNumberFormat="1" applyFont="1" applyFill="1" applyBorder="1" applyAlignment="1" applyProtection="1">
      <alignment vertical="top" wrapText="1"/>
    </xf>
    <xf numFmtId="0" fontId="13" fillId="0" borderId="0" xfId="39" applyFont="1" applyBorder="1" applyProtection="1"/>
    <xf numFmtId="0" fontId="98" fillId="0" borderId="0" xfId="39" applyFont="1" applyBorder="1" applyAlignment="1" applyProtection="1">
      <alignment vertical="top" wrapText="1"/>
    </xf>
    <xf numFmtId="0" fontId="99" fillId="0" borderId="0" xfId="39" applyFont="1" applyBorder="1" applyAlignment="1" applyProtection="1">
      <alignment vertical="top" wrapText="1"/>
    </xf>
    <xf numFmtId="0" fontId="98" fillId="0" borderId="0" xfId="39" applyFont="1" applyBorder="1"/>
    <xf numFmtId="0" fontId="103" fillId="0" borderId="0" xfId="39" applyFont="1" applyBorder="1" applyProtection="1"/>
    <xf numFmtId="3" fontId="38" fillId="0" borderId="15" xfId="39" applyNumberFormat="1" applyFont="1" applyBorder="1" applyProtection="1"/>
    <xf numFmtId="0" fontId="99" fillId="0" borderId="0" xfId="39" applyFont="1" applyBorder="1" applyProtection="1"/>
    <xf numFmtId="0" fontId="98" fillId="0" borderId="0" xfId="39" applyFont="1"/>
    <xf numFmtId="0" fontId="38" fillId="0" borderId="0" xfId="39" applyFont="1" applyBorder="1" applyAlignment="1" applyProtection="1">
      <alignment horizontal="center" vertical="top" wrapText="1"/>
    </xf>
    <xf numFmtId="2" fontId="29" fillId="0" borderId="0" xfId="39" applyNumberFormat="1" applyFont="1" applyBorder="1" applyAlignment="1" applyProtection="1">
      <alignment horizontal="center" vertical="top" wrapText="1"/>
    </xf>
    <xf numFmtId="3" fontId="32" fillId="0" borderId="0" xfId="0" applyNumberFormat="1" applyFont="1" applyProtection="1"/>
    <xf numFmtId="0" fontId="32" fillId="0" borderId="0" xfId="39" applyFont="1" applyBorder="1" applyProtection="1"/>
    <xf numFmtId="0" fontId="38" fillId="0" borderId="0" xfId="39" applyFont="1" applyBorder="1" applyAlignment="1">
      <alignment horizontal="center" vertical="top" wrapText="1"/>
    </xf>
    <xf numFmtId="0" fontId="12" fillId="0" borderId="0" xfId="39" applyFont="1" applyBorder="1"/>
    <xf numFmtId="0" fontId="38" fillId="0" borderId="0" xfId="39" applyFont="1" applyBorder="1" applyAlignment="1">
      <alignment vertical="top" wrapText="1"/>
    </xf>
    <xf numFmtId="0" fontId="29" fillId="0" borderId="0" xfId="22" applyFont="1" applyBorder="1" applyAlignment="1" applyProtection="1">
      <alignment horizontal="left"/>
    </xf>
    <xf numFmtId="0" fontId="29" fillId="0" borderId="0" xfId="22" applyFont="1" applyAlignment="1" applyProtection="1">
      <alignment horizontal="left"/>
    </xf>
    <xf numFmtId="0" fontId="31" fillId="0" borderId="0" xfId="22" applyFont="1" applyAlignment="1" applyProtection="1">
      <alignment horizontal="left"/>
    </xf>
    <xf numFmtId="0" fontId="12" fillId="0" borderId="0" xfId="22" applyFont="1" applyAlignment="1" applyProtection="1">
      <alignment horizontal="center"/>
    </xf>
    <xf numFmtId="0" fontId="31" fillId="0" borderId="50" xfId="22" applyFont="1" applyBorder="1" applyAlignment="1" applyProtection="1">
      <alignment horizontal="center" vertical="center" wrapText="1"/>
    </xf>
    <xf numFmtId="0" fontId="31" fillId="0" borderId="47" xfId="22" applyFont="1" applyBorder="1" applyAlignment="1" applyProtection="1">
      <alignment horizontal="center" vertical="center" wrapText="1"/>
    </xf>
    <xf numFmtId="0" fontId="12" fillId="0" borderId="51" xfId="22" applyBorder="1" applyProtection="1"/>
    <xf numFmtId="0" fontId="31" fillId="0" borderId="52" xfId="22" applyFont="1" applyBorder="1" applyProtection="1"/>
    <xf numFmtId="0" fontId="12" fillId="0" borderId="51" xfId="22" applyBorder="1" applyAlignment="1" applyProtection="1">
      <alignment horizontal="center"/>
    </xf>
    <xf numFmtId="0" fontId="12" fillId="0" borderId="52" xfId="22" applyBorder="1" applyProtection="1"/>
    <xf numFmtId="0" fontId="12" fillId="0" borderId="53" xfId="22" applyBorder="1" applyProtection="1"/>
    <xf numFmtId="0" fontId="12" fillId="0" borderId="54" xfId="22" applyBorder="1" applyProtection="1"/>
    <xf numFmtId="0" fontId="12" fillId="0" borderId="2" xfId="22" applyFont="1" applyBorder="1" applyProtection="1"/>
    <xf numFmtId="3" fontId="12" fillId="0" borderId="2" xfId="22" applyNumberFormat="1" applyBorder="1" applyProtection="1"/>
    <xf numFmtId="3" fontId="12" fillId="0" borderId="54" xfId="22" applyNumberFormat="1" applyBorder="1" applyProtection="1"/>
    <xf numFmtId="3" fontId="12" fillId="0" borderId="55" xfId="22" applyNumberFormat="1" applyBorder="1" applyProtection="1"/>
    <xf numFmtId="0" fontId="12" fillId="0" borderId="56" xfId="22" applyBorder="1" applyProtection="1"/>
    <xf numFmtId="0" fontId="12" fillId="0" borderId="57" xfId="22" applyFont="1" applyBorder="1" applyProtection="1"/>
    <xf numFmtId="0" fontId="12" fillId="0" borderId="58" xfId="22" applyBorder="1" applyProtection="1"/>
    <xf numFmtId="3" fontId="12" fillId="0" borderId="59" xfId="22" applyNumberFormat="1" applyBorder="1" applyProtection="1"/>
    <xf numFmtId="3" fontId="12" fillId="0" borderId="58" xfId="22" applyNumberFormat="1" applyBorder="1" applyProtection="1"/>
    <xf numFmtId="3" fontId="12" fillId="0" borderId="60" xfId="22" applyNumberFormat="1" applyBorder="1" applyProtection="1"/>
    <xf numFmtId="0" fontId="31" fillId="0" borderId="48" xfId="22" applyFont="1" applyFill="1" applyBorder="1" applyProtection="1"/>
    <xf numFmtId="0" fontId="12" fillId="0" borderId="61" xfId="22" applyBorder="1" applyProtection="1"/>
    <xf numFmtId="0" fontId="31" fillId="0" borderId="0" xfId="22" applyFont="1" applyFill="1" applyBorder="1" applyProtection="1"/>
    <xf numFmtId="3" fontId="12" fillId="0" borderId="56" xfId="22" applyNumberFormat="1" applyBorder="1" applyProtection="1"/>
    <xf numFmtId="3" fontId="12" fillId="0" borderId="0" xfId="22" applyNumberFormat="1" applyBorder="1" applyProtection="1"/>
    <xf numFmtId="3" fontId="12" fillId="0" borderId="0" xfId="22" applyNumberFormat="1" applyProtection="1"/>
    <xf numFmtId="0" fontId="13" fillId="0" borderId="0" xfId="22" applyFont="1" applyProtection="1"/>
    <xf numFmtId="0" fontId="31" fillId="0" borderId="0" xfId="22" applyFont="1" applyAlignment="1" applyProtection="1"/>
    <xf numFmtId="0" fontId="41" fillId="0" borderId="0" xfId="0" applyFont="1" applyAlignment="1" applyProtection="1"/>
    <xf numFmtId="0" fontId="12" fillId="0" borderId="0" xfId="22"/>
    <xf numFmtId="0" fontId="12" fillId="0" borderId="0" xfId="22" applyBorder="1"/>
    <xf numFmtId="0" fontId="12" fillId="0" borderId="0" xfId="22" applyFont="1" applyBorder="1" applyAlignment="1">
      <alignment horizontal="right"/>
    </xf>
    <xf numFmtId="0" fontId="29" fillId="0" borderId="0" xfId="22" applyFont="1" applyBorder="1" applyAlignment="1"/>
    <xf numFmtId="0" fontId="100" fillId="0" borderId="0" xfId="39" applyFont="1" applyBorder="1" applyAlignment="1"/>
    <xf numFmtId="0" fontId="31" fillId="0" borderId="39" xfId="22" applyFont="1" applyFill="1" applyBorder="1" applyAlignment="1" applyProtection="1">
      <alignment horizontal="left"/>
    </xf>
    <xf numFmtId="3" fontId="12" fillId="0" borderId="0" xfId="22" applyNumberFormat="1" applyBorder="1"/>
    <xf numFmtId="0" fontId="12" fillId="0" borderId="35" xfId="22" applyFont="1" applyFill="1" applyBorder="1" applyAlignment="1">
      <alignment vertical="center" wrapText="1"/>
    </xf>
    <xf numFmtId="0" fontId="12" fillId="0" borderId="35" xfId="22" applyFont="1" applyFill="1" applyBorder="1"/>
    <xf numFmtId="0" fontId="12" fillId="0" borderId="19" xfId="22" applyFont="1" applyFill="1" applyBorder="1" applyAlignment="1">
      <alignment vertical="center" wrapText="1"/>
    </xf>
    <xf numFmtId="0" fontId="12" fillId="0" borderId="22" xfId="22" applyFont="1" applyFill="1" applyBorder="1" applyAlignment="1">
      <alignment vertical="center" wrapText="1"/>
    </xf>
    <xf numFmtId="0" fontId="12" fillId="0" borderId="29" xfId="22" applyFont="1" applyFill="1" applyBorder="1"/>
    <xf numFmtId="0" fontId="31" fillId="0" borderId="29" xfId="22" applyFont="1" applyFill="1" applyBorder="1" applyAlignment="1" applyProtection="1">
      <alignment horizontal="left"/>
    </xf>
    <xf numFmtId="0" fontId="12" fillId="0" borderId="31" xfId="22" applyFont="1" applyFill="1" applyBorder="1" applyAlignment="1">
      <alignment vertical="center" wrapText="1"/>
    </xf>
    <xf numFmtId="0" fontId="12" fillId="0" borderId="32" xfId="22" applyFont="1" applyFill="1" applyBorder="1"/>
    <xf numFmtId="4" fontId="12" fillId="0" borderId="0" xfId="22" applyNumberFormat="1" applyBorder="1"/>
    <xf numFmtId="3" fontId="12" fillId="0" borderId="0" xfId="22" applyNumberFormat="1" applyFont="1" applyBorder="1"/>
    <xf numFmtId="2" fontId="29" fillId="0" borderId="0" xfId="22" applyNumberFormat="1" applyFont="1" applyBorder="1" applyAlignment="1" applyProtection="1">
      <alignment vertical="center" wrapText="1"/>
    </xf>
    <xf numFmtId="0" fontId="12" fillId="0" borderId="0" xfId="22" applyFill="1" applyBorder="1" applyProtection="1"/>
    <xf numFmtId="0" fontId="31" fillId="0" borderId="0" xfId="22" applyFont="1" applyBorder="1" applyAlignment="1" applyProtection="1">
      <alignment vertical="center"/>
    </xf>
    <xf numFmtId="0" fontId="31" fillId="0" borderId="0" xfId="22" applyFont="1" applyBorder="1" applyAlignment="1" applyProtection="1">
      <alignment horizontal="center" vertical="center" wrapText="1"/>
    </xf>
    <xf numFmtId="0" fontId="31" fillId="0" borderId="0" xfId="22" applyFont="1" applyFill="1" applyBorder="1" applyAlignment="1" applyProtection="1">
      <alignment horizontal="center" vertical="center" wrapText="1"/>
    </xf>
    <xf numFmtId="0" fontId="31" fillId="0" borderId="0" xfId="22" applyFont="1" applyBorder="1" applyAlignment="1" applyProtection="1">
      <alignment vertical="center" wrapText="1"/>
    </xf>
    <xf numFmtId="0" fontId="12" fillId="0" borderId="0" xfId="22" applyBorder="1" applyAlignment="1">
      <alignment horizontal="center"/>
    </xf>
    <xf numFmtId="0" fontId="31" fillId="0" borderId="0" xfId="22" applyFont="1" applyBorder="1" applyAlignment="1">
      <alignment vertical="center" wrapText="1"/>
    </xf>
    <xf numFmtId="49" fontId="41" fillId="0" borderId="0" xfId="22" applyNumberFormat="1" applyFont="1" applyBorder="1" applyAlignment="1" applyProtection="1">
      <alignment vertical="center" wrapText="1"/>
    </xf>
    <xf numFmtId="0" fontId="32" fillId="0" borderId="0" xfId="22" applyFont="1" applyBorder="1" applyProtection="1"/>
    <xf numFmtId="3" fontId="32" fillId="0" borderId="0" xfId="22" applyNumberFormat="1" applyFont="1" applyBorder="1" applyProtection="1"/>
    <xf numFmtId="0" fontId="12" fillId="0" borderId="0" xfId="22" applyFont="1" applyBorder="1" applyProtection="1"/>
    <xf numFmtId="2" fontId="17" fillId="0" borderId="0" xfId="22" applyNumberFormat="1" applyFont="1" applyBorder="1" applyProtection="1"/>
    <xf numFmtId="2" fontId="16" fillId="0" borderId="0" xfId="22" applyNumberFormat="1" applyFont="1" applyFill="1" applyBorder="1" applyAlignment="1" applyProtection="1"/>
    <xf numFmtId="0" fontId="45" fillId="0" borderId="0" xfId="22" applyFont="1" applyBorder="1" applyProtection="1"/>
    <xf numFmtId="49" fontId="41" fillId="0" borderId="0" xfId="22" applyNumberFormat="1" applyFont="1" applyBorder="1" applyAlignment="1" applyProtection="1">
      <alignment horizontal="center" vertical="center" wrapText="1"/>
    </xf>
    <xf numFmtId="3" fontId="27" fillId="0" borderId="0" xfId="22" applyNumberFormat="1" applyFont="1" applyBorder="1" applyProtection="1"/>
    <xf numFmtId="0" fontId="13" fillId="0" borderId="0" xfId="31" applyProtection="1"/>
    <xf numFmtId="0" fontId="12" fillId="0" borderId="0" xfId="31" applyFont="1" applyProtection="1"/>
    <xf numFmtId="0" fontId="13" fillId="0" borderId="0" xfId="31" applyBorder="1" applyProtection="1"/>
    <xf numFmtId="0" fontId="12" fillId="0" borderId="0" xfId="31" applyFont="1" applyBorder="1" applyAlignment="1" applyProtection="1">
      <alignment horizontal="right"/>
    </xf>
    <xf numFmtId="0" fontId="13" fillId="0" borderId="0" xfId="31" applyAlignment="1" applyProtection="1">
      <alignment vertical="center"/>
    </xf>
    <xf numFmtId="0" fontId="13" fillId="0" borderId="0" xfId="31" applyBorder="1" applyAlignment="1" applyProtection="1">
      <alignment vertical="center"/>
    </xf>
    <xf numFmtId="0" fontId="44" fillId="0" borderId="0" xfId="31" applyFont="1" applyBorder="1" applyAlignment="1" applyProtection="1">
      <alignment horizontal="center" vertical="center"/>
    </xf>
    <xf numFmtId="0" fontId="27" fillId="0" borderId="0" xfId="31" applyFont="1" applyBorder="1" applyAlignment="1" applyProtection="1">
      <alignment vertical="center" wrapText="1"/>
    </xf>
    <xf numFmtId="0" fontId="13" fillId="0" borderId="0" xfId="31" applyFill="1" applyBorder="1" applyAlignment="1" applyProtection="1">
      <alignment vertical="center"/>
    </xf>
    <xf numFmtId="0" fontId="0" fillId="0" borderId="0" xfId="0" applyAlignment="1">
      <alignment horizontal="center"/>
    </xf>
    <xf numFmtId="3" fontId="12" fillId="0" borderId="0" xfId="52" applyNumberFormat="1" applyFont="1" applyAlignment="1" applyProtection="1">
      <alignment horizontal="center"/>
    </xf>
    <xf numFmtId="2" fontId="29" fillId="0" borderId="0" xfId="39" applyNumberFormat="1" applyFont="1" applyBorder="1" applyAlignment="1" applyProtection="1">
      <alignment vertical="top" wrapText="1"/>
    </xf>
    <xf numFmtId="0" fontId="12" fillId="0" borderId="0" xfId="22" applyFont="1"/>
    <xf numFmtId="0" fontId="12" fillId="0" borderId="0" xfId="22" applyFont="1" applyFill="1"/>
    <xf numFmtId="3" fontId="26" fillId="0" borderId="0" xfId="52" applyNumberFormat="1" applyFont="1" applyProtection="1"/>
    <xf numFmtId="3" fontId="132" fillId="0" borderId="0" xfId="52" applyNumberFormat="1" applyProtection="1"/>
    <xf numFmtId="3" fontId="27" fillId="0" borderId="0" xfId="52" applyNumberFormat="1" applyFont="1" applyAlignment="1" applyProtection="1">
      <alignment horizontal="center"/>
    </xf>
    <xf numFmtId="3" fontId="26" fillId="0" borderId="0" xfId="53" applyNumberFormat="1" applyFont="1" applyProtection="1">
      <protection locked="0"/>
    </xf>
    <xf numFmtId="3" fontId="12" fillId="0" borderId="0" xfId="53" applyNumberFormat="1" applyFont="1" applyFill="1" applyProtection="1"/>
    <xf numFmtId="3" fontId="29" fillId="0" borderId="0" xfId="52" applyNumberFormat="1" applyFont="1" applyProtection="1"/>
    <xf numFmtId="3" fontId="0" fillId="0" borderId="0" xfId="52" applyNumberFormat="1" applyFont="1" applyProtection="1"/>
    <xf numFmtId="3" fontId="23" fillId="0" borderId="3" xfId="53" applyNumberFormat="1" applyFont="1" applyBorder="1" applyAlignment="1" applyProtection="1">
      <alignment horizontal="center"/>
    </xf>
    <xf numFmtId="0" fontId="23" fillId="0" borderId="3" xfId="53" applyNumberFormat="1" applyFont="1" applyBorder="1" applyAlignment="1" applyProtection="1">
      <alignment horizontal="center"/>
    </xf>
    <xf numFmtId="49" fontId="23" fillId="0" borderId="3" xfId="53" applyNumberFormat="1" applyFont="1" applyBorder="1" applyAlignment="1" applyProtection="1">
      <alignment horizontal="center"/>
    </xf>
    <xf numFmtId="3" fontId="26" fillId="0" borderId="17" xfId="53" applyNumberFormat="1" applyFont="1" applyBorder="1" applyAlignment="1" applyProtection="1">
      <alignment wrapText="1"/>
    </xf>
    <xf numFmtId="49" fontId="26" fillId="0" borderId="6" xfId="53" applyNumberFormat="1" applyFont="1" applyBorder="1" applyAlignment="1" applyProtection="1">
      <alignment horizontal="center" vertical="center"/>
    </xf>
    <xf numFmtId="3" fontId="16" fillId="0" borderId="27" xfId="52" applyNumberFormat="1" applyFont="1" applyBorder="1" applyAlignment="1" applyProtection="1">
      <alignment horizontal="right" vertical="center"/>
    </xf>
    <xf numFmtId="3" fontId="16" fillId="0" borderId="28" xfId="52" applyNumberFormat="1" applyFont="1" applyBorder="1" applyAlignment="1" applyProtection="1">
      <alignment horizontal="right" vertical="center"/>
    </xf>
    <xf numFmtId="3" fontId="16" fillId="0" borderId="8" xfId="52" applyNumberFormat="1" applyFont="1" applyBorder="1" applyAlignment="1" applyProtection="1">
      <alignment horizontal="right" vertical="center"/>
    </xf>
    <xf numFmtId="3" fontId="26" fillId="0" borderId="21" xfId="53" applyNumberFormat="1" applyFont="1" applyBorder="1" applyAlignment="1" applyProtection="1">
      <alignment wrapText="1"/>
    </xf>
    <xf numFmtId="49" fontId="32" fillId="0" borderId="10" xfId="53" applyNumberFormat="1" applyFont="1" applyBorder="1" applyAlignment="1" applyProtection="1">
      <alignment horizontal="center" vertical="center"/>
    </xf>
    <xf numFmtId="3" fontId="27" fillId="0" borderId="22" xfId="52" applyNumberFormat="1" applyFont="1" applyBorder="1" applyAlignment="1" applyProtection="1">
      <alignment horizontal="right" vertical="center"/>
    </xf>
    <xf numFmtId="3" fontId="27" fillId="0" borderId="29" xfId="52" applyNumberFormat="1" applyFont="1" applyBorder="1" applyAlignment="1" applyProtection="1">
      <alignment horizontal="right" vertical="center"/>
    </xf>
    <xf numFmtId="3" fontId="27" fillId="0" borderId="12" xfId="52" applyNumberFormat="1" applyFont="1" applyBorder="1" applyAlignment="1" applyProtection="1">
      <alignment horizontal="right" vertical="center"/>
    </xf>
    <xf numFmtId="3" fontId="27" fillId="0" borderId="21" xfId="53" applyNumberFormat="1" applyFont="1" applyBorder="1" applyAlignment="1" applyProtection="1">
      <alignment wrapText="1"/>
    </xf>
    <xf numFmtId="49" fontId="27" fillId="0" borderId="10" xfId="53" applyNumberFormat="1" applyFont="1" applyBorder="1" applyAlignment="1" applyProtection="1">
      <alignment horizontal="center" vertical="center"/>
    </xf>
    <xf numFmtId="3" fontId="27" fillId="0" borderId="22" xfId="52" applyNumberFormat="1" applyFont="1" applyFill="1" applyBorder="1" applyAlignment="1" applyProtection="1">
      <alignment horizontal="right" vertical="center"/>
    </xf>
    <xf numFmtId="3" fontId="27" fillId="0" borderId="29" xfId="52" applyNumberFormat="1" applyFont="1" applyFill="1" applyBorder="1" applyAlignment="1" applyProtection="1">
      <alignment horizontal="right" vertical="center"/>
    </xf>
    <xf numFmtId="3" fontId="27" fillId="0" borderId="12" xfId="52" applyNumberFormat="1" applyFont="1" applyFill="1" applyBorder="1" applyAlignment="1" applyProtection="1">
      <alignment horizontal="right" vertical="center"/>
    </xf>
    <xf numFmtId="49" fontId="26" fillId="0" borderId="10" xfId="53" applyNumberFormat="1" applyFont="1" applyBorder="1" applyAlignment="1" applyProtection="1">
      <alignment horizontal="center" vertical="center"/>
    </xf>
    <xf numFmtId="3" fontId="16" fillId="0" borderId="22" xfId="52" applyNumberFormat="1" applyFont="1" applyBorder="1" applyAlignment="1" applyProtection="1">
      <alignment horizontal="right" vertical="center"/>
    </xf>
    <xf numFmtId="3" fontId="16" fillId="0" borderId="29" xfId="52" applyNumberFormat="1" applyFont="1" applyBorder="1" applyAlignment="1" applyProtection="1">
      <alignment horizontal="right" vertical="center"/>
    </xf>
    <xf numFmtId="3" fontId="16" fillId="0" borderId="12" xfId="52" applyNumberFormat="1" applyFont="1" applyBorder="1" applyAlignment="1" applyProtection="1">
      <alignment horizontal="right" vertical="center"/>
    </xf>
    <xf numFmtId="49" fontId="32" fillId="0" borderId="10" xfId="53" applyNumberFormat="1" applyFont="1" applyBorder="1" applyAlignment="1" applyProtection="1">
      <alignment horizontal="center" vertical="center" wrapText="1"/>
    </xf>
    <xf numFmtId="3" fontId="26" fillId="0" borderId="21" xfId="53" applyNumberFormat="1" applyFont="1" applyBorder="1" applyAlignment="1" applyProtection="1">
      <alignment vertical="top" wrapText="1"/>
    </xf>
    <xf numFmtId="49" fontId="16" fillId="0" borderId="10" xfId="53" applyNumberFormat="1" applyFont="1" applyBorder="1" applyAlignment="1" applyProtection="1">
      <alignment horizontal="center" vertical="center"/>
    </xf>
    <xf numFmtId="0" fontId="26" fillId="0" borderId="21" xfId="53" applyNumberFormat="1" applyFont="1" applyBorder="1" applyAlignment="1" applyProtection="1">
      <alignment wrapText="1"/>
    </xf>
    <xf numFmtId="3" fontId="27" fillId="0" borderId="21" xfId="53" applyNumberFormat="1" applyFont="1" applyBorder="1" applyAlignment="1" applyProtection="1">
      <alignment vertical="top" wrapText="1"/>
    </xf>
    <xf numFmtId="3" fontId="27" fillId="0" borderId="23" xfId="53" applyNumberFormat="1" applyFont="1" applyBorder="1" applyAlignment="1" applyProtection="1">
      <alignment vertical="top" wrapText="1"/>
    </xf>
    <xf numFmtId="49" fontId="27" fillId="0" borderId="13" xfId="53" applyNumberFormat="1" applyFont="1" applyBorder="1" applyAlignment="1" applyProtection="1">
      <alignment horizontal="center" vertical="center"/>
    </xf>
    <xf numFmtId="3" fontId="26" fillId="0" borderId="17" xfId="53" applyNumberFormat="1" applyFont="1" applyBorder="1" applyAlignment="1" applyProtection="1">
      <alignment vertical="top" wrapText="1"/>
    </xf>
    <xf numFmtId="49" fontId="16" fillId="0" borderId="6" xfId="53" applyNumberFormat="1" applyFont="1" applyBorder="1" applyAlignment="1" applyProtection="1">
      <alignment horizontal="center" vertical="center"/>
    </xf>
    <xf numFmtId="49" fontId="27" fillId="0" borderId="10" xfId="53" applyNumberFormat="1" applyFont="1" applyBorder="1" applyAlignment="1" applyProtection="1">
      <alignment horizontal="center" vertical="center" wrapText="1"/>
    </xf>
    <xf numFmtId="3" fontId="27" fillId="0" borderId="23" xfId="53" applyNumberFormat="1" applyFont="1" applyBorder="1" applyAlignment="1" applyProtection="1">
      <alignment wrapText="1"/>
    </xf>
    <xf numFmtId="3" fontId="27" fillId="0" borderId="17" xfId="53" applyNumberFormat="1" applyFont="1" applyBorder="1" applyAlignment="1" applyProtection="1">
      <alignment wrapText="1"/>
    </xf>
    <xf numFmtId="49" fontId="27" fillId="0" borderId="6" xfId="53" applyNumberFormat="1" applyFont="1" applyBorder="1" applyAlignment="1" applyProtection="1">
      <alignment horizontal="center" vertical="center"/>
    </xf>
    <xf numFmtId="3" fontId="27" fillId="0" borderId="27" xfId="52" applyNumberFormat="1" applyFont="1" applyBorder="1" applyAlignment="1" applyProtection="1">
      <alignment horizontal="right" vertical="center"/>
      <protection locked="0"/>
    </xf>
    <xf numFmtId="3" fontId="27" fillId="0" borderId="28" xfId="52" applyNumberFormat="1" applyFont="1" applyBorder="1" applyAlignment="1" applyProtection="1">
      <alignment horizontal="right" vertical="center"/>
      <protection locked="0"/>
    </xf>
    <xf numFmtId="3" fontId="26" fillId="0" borderId="21" xfId="53" applyNumberFormat="1" applyFont="1" applyFill="1" applyBorder="1" applyAlignment="1" applyProtection="1">
      <alignment wrapText="1"/>
    </xf>
    <xf numFmtId="0" fontId="12" fillId="0" borderId="0" xfId="53" applyFont="1" applyBorder="1" applyProtection="1"/>
    <xf numFmtId="0" fontId="12" fillId="0" borderId="0" xfId="53" applyFont="1"/>
    <xf numFmtId="0" fontId="12" fillId="0" borderId="0" xfId="53" applyFont="1" applyFill="1"/>
    <xf numFmtId="0" fontId="12" fillId="0" borderId="0" xfId="53" applyFont="1" applyProtection="1"/>
    <xf numFmtId="0" fontId="19" fillId="0" borderId="0" xfId="0" applyFont="1" applyFill="1" applyProtection="1">
      <protection locked="0"/>
    </xf>
    <xf numFmtId="0" fontId="19" fillId="0" borderId="0" xfId="0" applyFont="1" applyFill="1" applyAlignment="1" applyProtection="1">
      <alignment horizontal="center"/>
      <protection locked="0"/>
    </xf>
    <xf numFmtId="0" fontId="17" fillId="0" borderId="0" xfId="0" applyFont="1" applyFill="1" applyAlignment="1" applyProtection="1">
      <protection locked="0"/>
    </xf>
    <xf numFmtId="49" fontId="48" fillId="0" borderId="3" xfId="53" applyNumberFormat="1" applyFont="1" applyBorder="1" applyAlignment="1" applyProtection="1">
      <alignment horizontal="center"/>
    </xf>
    <xf numFmtId="0" fontId="0" fillId="0" borderId="0" xfId="0" applyAlignment="1" applyProtection="1">
      <alignment vertical="center"/>
    </xf>
    <xf numFmtId="0" fontId="18" fillId="0" borderId="0" xfId="0" applyFont="1" applyFill="1" applyAlignment="1" applyProtection="1">
      <alignment horizontal="center"/>
    </xf>
    <xf numFmtId="0" fontId="19" fillId="0" borderId="0" xfId="0" applyFont="1" applyFill="1" applyAlignment="1" applyProtection="1">
      <alignment horizontal="center"/>
    </xf>
    <xf numFmtId="0" fontId="29" fillId="0" borderId="0" xfId="0" applyFont="1" applyFill="1" applyAlignment="1" applyProtection="1">
      <protection locked="0"/>
    </xf>
    <xf numFmtId="2" fontId="25" fillId="0" borderId="6" xfId="0" applyNumberFormat="1" applyFont="1" applyFill="1" applyBorder="1" applyAlignment="1" applyProtection="1">
      <alignment vertical="center" wrapText="1"/>
    </xf>
    <xf numFmtId="3" fontId="25" fillId="0" borderId="10" xfId="0" applyNumberFormat="1" applyFont="1" applyFill="1" applyBorder="1" applyAlignment="1" applyProtection="1">
      <alignment vertical="center" wrapText="1"/>
    </xf>
    <xf numFmtId="3" fontId="25" fillId="0" borderId="10" xfId="0" applyNumberFormat="1" applyFont="1" applyFill="1" applyBorder="1" applyAlignment="1" applyProtection="1">
      <alignment vertical="top" wrapText="1"/>
    </xf>
    <xf numFmtId="2" fontId="21" fillId="0" borderId="3" xfId="0" applyNumberFormat="1" applyFont="1" applyFill="1" applyBorder="1" applyAlignment="1" applyProtection="1">
      <alignment horizontal="center"/>
    </xf>
    <xf numFmtId="3" fontId="26" fillId="0" borderId="25" xfId="0" applyNumberFormat="1" applyFont="1" applyFill="1" applyBorder="1" applyProtection="1"/>
    <xf numFmtId="3" fontId="29" fillId="0" borderId="26" xfId="0" applyNumberFormat="1" applyFont="1" applyFill="1" applyBorder="1" applyProtection="1"/>
    <xf numFmtId="3" fontId="26" fillId="0" borderId="5" xfId="0" applyNumberFormat="1" applyFont="1" applyFill="1" applyBorder="1" applyProtection="1"/>
    <xf numFmtId="3" fontId="29" fillId="0" borderId="4" xfId="0" applyNumberFormat="1" applyFont="1" applyFill="1" applyBorder="1" applyProtection="1"/>
    <xf numFmtId="3" fontId="29" fillId="0" borderId="5" xfId="0" applyNumberFormat="1" applyFont="1" applyFill="1" applyBorder="1" applyProtection="1"/>
    <xf numFmtId="0" fontId="104" fillId="0" borderId="0" xfId="0" applyFont="1" applyFill="1" applyProtection="1"/>
    <xf numFmtId="0" fontId="92" fillId="0" borderId="0" xfId="0" applyFont="1" applyFill="1" applyAlignment="1" applyProtection="1"/>
    <xf numFmtId="3" fontId="13" fillId="0" borderId="15" xfId="0" applyNumberFormat="1" applyFont="1" applyFill="1" applyBorder="1" applyAlignment="1" applyProtection="1">
      <alignment horizontal="right" vertical="center" wrapText="1"/>
      <protection locked="0"/>
    </xf>
    <xf numFmtId="0" fontId="14" fillId="0" borderId="0" xfId="38" applyProtection="1"/>
    <xf numFmtId="0" fontId="14" fillId="0" borderId="0" xfId="38" applyFont="1" applyFill="1" applyAlignment="1" applyProtection="1">
      <alignment vertical="center" wrapText="1"/>
    </xf>
    <xf numFmtId="0" fontId="14" fillId="0" borderId="0" xfId="38" applyFill="1" applyProtection="1"/>
    <xf numFmtId="2" fontId="17" fillId="0" borderId="0" xfId="38" applyNumberFormat="1" applyFont="1" applyFill="1" applyAlignment="1" applyProtection="1">
      <alignment horizontal="left" vertical="center" wrapText="1"/>
      <protection locked="0"/>
    </xf>
    <xf numFmtId="0" fontId="108" fillId="0" borderId="0" xfId="38" applyFont="1" applyProtection="1"/>
    <xf numFmtId="0" fontId="110" fillId="0" borderId="0" xfId="38" applyFont="1" applyProtection="1"/>
    <xf numFmtId="0" fontId="111" fillId="0" borderId="0" xfId="38" applyFont="1" applyFill="1" applyProtection="1"/>
    <xf numFmtId="0" fontId="112" fillId="0" borderId="0" xfId="38" applyFont="1" applyFill="1" applyAlignment="1" applyProtection="1">
      <alignment horizontal="center" vertical="center" wrapText="1"/>
    </xf>
    <xf numFmtId="0" fontId="60" fillId="0" borderId="0" xfId="38" applyFont="1" applyFill="1" applyProtection="1"/>
    <xf numFmtId="0" fontId="0" fillId="0" borderId="0" xfId="0" applyFill="1" applyAlignment="1" applyProtection="1">
      <alignment horizontal="center"/>
      <protection locked="0"/>
    </xf>
    <xf numFmtId="0" fontId="113" fillId="0" borderId="0" xfId="0" applyFont="1" applyFill="1" applyProtection="1">
      <protection locked="0"/>
    </xf>
    <xf numFmtId="0" fontId="113" fillId="0" borderId="0" xfId="0" applyFont="1" applyFill="1" applyProtection="1"/>
    <xf numFmtId="0" fontId="113" fillId="0" borderId="0" xfId="0" applyFont="1" applyFill="1" applyAlignment="1" applyProtection="1"/>
    <xf numFmtId="0" fontId="31" fillId="0" borderId="0" xfId="0" applyFont="1" applyFill="1" applyAlignment="1" applyProtection="1"/>
    <xf numFmtId="0" fontId="56" fillId="0" borderId="0" xfId="0" applyFont="1" applyFill="1" applyAlignment="1" applyProtection="1">
      <alignment horizontal="right"/>
    </xf>
    <xf numFmtId="0" fontId="114" fillId="0" borderId="0" xfId="52" applyFont="1" applyFill="1" applyAlignment="1" applyProtection="1">
      <alignment horizontal="center"/>
    </xf>
    <xf numFmtId="3" fontId="74" fillId="0" borderId="0" xfId="24" applyNumberFormat="1" applyFont="1" applyFill="1" applyBorder="1" applyAlignment="1" applyProtection="1">
      <alignment vertical="center" wrapText="1"/>
    </xf>
    <xf numFmtId="49" fontId="74" fillId="0" borderId="0" xfId="24"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right" vertical="center"/>
      <protection locked="0"/>
    </xf>
    <xf numFmtId="3" fontId="13" fillId="0" borderId="0" xfId="0" applyNumberFormat="1" applyFont="1" applyFill="1" applyBorder="1" applyAlignment="1" applyProtection="1">
      <alignment horizontal="right" vertical="center"/>
    </xf>
    <xf numFmtId="49" fontId="12" fillId="0" borderId="0" xfId="24" applyNumberFormat="1" applyFont="1" applyFill="1" applyBorder="1" applyAlignment="1" applyProtection="1">
      <alignment horizontal="center" vertical="center"/>
    </xf>
    <xf numFmtId="0" fontId="29" fillId="0" borderId="0" xfId="0" applyFont="1" applyFill="1" applyAlignment="1"/>
    <xf numFmtId="0" fontId="113" fillId="0" borderId="0" xfId="0" applyNumberFormat="1" applyFont="1" applyFill="1" applyAlignment="1" applyProtection="1"/>
    <xf numFmtId="0" fontId="0" fillId="0" borderId="0" xfId="0" applyFill="1" applyAlignment="1" applyProtection="1">
      <alignment horizontal="center" vertical="center"/>
      <protection locked="0"/>
    </xf>
    <xf numFmtId="2" fontId="16" fillId="0" borderId="0" xfId="0" applyNumberFormat="1" applyFont="1" applyProtection="1"/>
    <xf numFmtId="2" fontId="17" fillId="0" borderId="0" xfId="0" applyNumberFormat="1" applyFont="1" applyProtection="1"/>
    <xf numFmtId="0" fontId="0" fillId="0" borderId="0" xfId="0" applyFont="1" applyAlignment="1" applyProtection="1">
      <alignment horizontal="right"/>
    </xf>
    <xf numFmtId="3" fontId="13" fillId="0" borderId="0" xfId="0" applyNumberFormat="1" applyFont="1" applyAlignment="1" applyProtection="1">
      <alignment vertical="center"/>
    </xf>
    <xf numFmtId="0" fontId="17" fillId="0" borderId="0" xfId="0" applyFont="1" applyAlignment="1" applyProtection="1">
      <alignment horizontal="center"/>
      <protection locked="0"/>
    </xf>
    <xf numFmtId="0" fontId="13" fillId="0" borderId="7" xfId="0" applyFont="1" applyFill="1" applyBorder="1" applyAlignment="1" applyProtection="1">
      <alignment horizontal="center" vertical="center" wrapText="1"/>
    </xf>
    <xf numFmtId="49" fontId="44" fillId="0" borderId="28" xfId="0" applyNumberFormat="1" applyFont="1" applyFill="1" applyBorder="1" applyAlignment="1" applyProtection="1">
      <alignment horizontal="center" vertical="center" wrapText="1"/>
    </xf>
    <xf numFmtId="0" fontId="44" fillId="0" borderId="28" xfId="0" applyFont="1" applyFill="1" applyBorder="1" applyAlignment="1" applyProtection="1">
      <alignment horizontal="center" vertical="center" wrapText="1"/>
    </xf>
    <xf numFmtId="3" fontId="44" fillId="0" borderId="28" xfId="0" applyNumberFormat="1" applyFont="1" applyFill="1" applyBorder="1" applyAlignment="1" applyProtection="1">
      <alignment horizontal="center" vertical="center" wrapText="1"/>
    </xf>
    <xf numFmtId="3" fontId="44" fillId="0" borderId="8" xfId="0" applyNumberFormat="1" applyFont="1" applyFill="1" applyBorder="1" applyAlignment="1" applyProtection="1">
      <alignment horizontal="center" vertical="center" wrapText="1"/>
    </xf>
    <xf numFmtId="0" fontId="17" fillId="0" borderId="41" xfId="0" applyFont="1" applyFill="1" applyBorder="1" applyAlignment="1" applyProtection="1">
      <alignment horizontal="center" vertical="center" wrapText="1"/>
    </xf>
    <xf numFmtId="49" fontId="48" fillId="0" borderId="32" xfId="0" applyNumberFormat="1" applyFont="1" applyFill="1" applyBorder="1" applyAlignment="1" applyProtection="1">
      <alignment horizontal="center" vertical="center" wrapText="1"/>
    </xf>
    <xf numFmtId="0" fontId="48" fillId="0" borderId="32" xfId="0" applyFont="1" applyFill="1" applyBorder="1" applyAlignment="1" applyProtection="1">
      <alignment horizontal="center" vertical="center" wrapText="1"/>
    </xf>
    <xf numFmtId="49" fontId="44" fillId="0" borderId="32" xfId="0" applyNumberFormat="1" applyFont="1" applyFill="1" applyBorder="1" applyAlignment="1" applyProtection="1">
      <alignment horizontal="center" vertical="center"/>
    </xf>
    <xf numFmtId="49" fontId="44" fillId="0" borderId="34" xfId="0" applyNumberFormat="1" applyFont="1" applyFill="1" applyBorder="1" applyAlignment="1" applyProtection="1">
      <alignment horizontal="center" vertical="center"/>
    </xf>
    <xf numFmtId="0" fontId="0" fillId="0" borderId="64" xfId="0" applyFont="1" applyFill="1" applyBorder="1" applyAlignment="1" applyProtection="1">
      <alignment horizontal="center"/>
    </xf>
    <xf numFmtId="0" fontId="0" fillId="0" borderId="65" xfId="0" applyFont="1" applyFill="1" applyBorder="1" applyAlignment="1" applyProtection="1">
      <alignment horizontal="center" vertical="center"/>
    </xf>
    <xf numFmtId="0" fontId="0" fillId="0" borderId="65" xfId="0" applyFill="1" applyBorder="1" applyAlignment="1" applyProtection="1">
      <alignment horizontal="center"/>
    </xf>
    <xf numFmtId="0" fontId="0" fillId="0" borderId="66" xfId="0" applyFill="1" applyBorder="1" applyAlignment="1" applyProtection="1">
      <alignment horizontal="center"/>
    </xf>
    <xf numFmtId="0" fontId="41" fillId="0" borderId="40" xfId="0" applyFont="1" applyFill="1" applyBorder="1" applyAlignment="1" applyProtection="1">
      <alignment horizontal="left" vertical="center" wrapText="1"/>
    </xf>
    <xf numFmtId="0" fontId="0" fillId="0" borderId="39" xfId="0" applyFill="1" applyBorder="1" applyAlignment="1" applyProtection="1">
      <alignment horizontal="center" vertical="center"/>
    </xf>
    <xf numFmtId="3" fontId="0" fillId="0" borderId="39" xfId="0" applyNumberFormat="1" applyFill="1" applyBorder="1" applyAlignment="1" applyProtection="1">
      <alignment vertical="center"/>
    </xf>
    <xf numFmtId="0" fontId="0" fillId="0" borderId="39" xfId="0" applyFill="1" applyBorder="1" applyProtection="1"/>
    <xf numFmtId="0" fontId="0" fillId="0" borderId="20" xfId="0" applyFill="1" applyBorder="1" applyAlignment="1" applyProtection="1">
      <alignment vertical="center"/>
    </xf>
    <xf numFmtId="0" fontId="0" fillId="0" borderId="11" xfId="0" applyFont="1" applyFill="1" applyBorder="1" applyProtection="1"/>
    <xf numFmtId="0" fontId="0" fillId="0" borderId="29" xfId="0" applyFill="1" applyBorder="1" applyAlignment="1" applyProtection="1">
      <alignment horizontal="center" vertical="center"/>
    </xf>
    <xf numFmtId="3" fontId="59" fillId="0" borderId="29" xfId="0" applyNumberFormat="1" applyFont="1" applyFill="1" applyBorder="1" applyProtection="1">
      <protection locked="0"/>
    </xf>
    <xf numFmtId="3" fontId="59" fillId="0" borderId="29" xfId="0" applyNumberFormat="1" applyFont="1" applyFill="1" applyBorder="1" applyProtection="1"/>
    <xf numFmtId="3" fontId="59" fillId="0" borderId="12"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wrapText="1"/>
    </xf>
    <xf numFmtId="3" fontId="59" fillId="0" borderId="29" xfId="0" applyNumberFormat="1" applyFont="1" applyFill="1" applyBorder="1" applyAlignment="1" applyProtection="1">
      <alignment horizontal="right" vertical="center"/>
    </xf>
    <xf numFmtId="3" fontId="59" fillId="0" borderId="12" xfId="0" applyNumberFormat="1" applyFont="1" applyFill="1" applyBorder="1" applyAlignment="1" applyProtection="1">
      <alignment vertical="center"/>
    </xf>
    <xf numFmtId="0" fontId="41" fillId="0" borderId="11" xfId="0" applyFont="1" applyFill="1" applyBorder="1" applyAlignment="1" applyProtection="1">
      <alignment vertical="center" wrapText="1"/>
    </xf>
    <xf numFmtId="0" fontId="59" fillId="0" borderId="12" xfId="0" applyFont="1" applyFill="1" applyBorder="1" applyAlignment="1" applyProtection="1">
      <alignment vertical="center"/>
    </xf>
    <xf numFmtId="3" fontId="59" fillId="0" borderId="29" xfId="0" applyNumberFormat="1" applyFont="1" applyFill="1" applyBorder="1" applyAlignment="1" applyProtection="1">
      <alignment horizontal="right" vertical="center"/>
      <protection locked="0"/>
    </xf>
    <xf numFmtId="3" fontId="32" fillId="0" borderId="29" xfId="0" applyNumberFormat="1" applyFont="1" applyFill="1" applyBorder="1" applyAlignment="1" applyProtection="1">
      <alignment horizontal="right" vertical="center"/>
      <protection locked="0"/>
    </xf>
    <xf numFmtId="0" fontId="41" fillId="0" borderId="14" xfId="0" applyFont="1" applyFill="1" applyBorder="1" applyAlignment="1" applyProtection="1">
      <alignment vertical="center" wrapText="1"/>
    </xf>
    <xf numFmtId="0" fontId="0" fillId="0" borderId="35" xfId="0" applyFill="1" applyBorder="1" applyAlignment="1" applyProtection="1">
      <alignment horizontal="center" vertical="center"/>
    </xf>
    <xf numFmtId="3" fontId="59" fillId="0" borderId="35" xfId="0" applyNumberFormat="1" applyFont="1" applyFill="1" applyBorder="1" applyAlignment="1" applyProtection="1">
      <alignment horizontal="right" vertical="center"/>
    </xf>
    <xf numFmtId="3" fontId="32" fillId="0" borderId="35" xfId="0" applyNumberFormat="1" applyFont="1" applyFill="1" applyBorder="1" applyAlignment="1" applyProtection="1">
      <alignment horizontal="right" vertical="center"/>
    </xf>
    <xf numFmtId="3" fontId="59" fillId="0" borderId="15" xfId="0" applyNumberFormat="1" applyFont="1" applyFill="1" applyBorder="1" applyAlignment="1" applyProtection="1">
      <alignment vertical="center"/>
    </xf>
    <xf numFmtId="0" fontId="0" fillId="0" borderId="0" xfId="0" applyFont="1" applyFill="1" applyAlignment="1" applyProtection="1"/>
    <xf numFmtId="2" fontId="16" fillId="0" borderId="0" xfId="0" applyNumberFormat="1" applyFont="1" applyFill="1" applyAlignment="1" applyProtection="1"/>
    <xf numFmtId="0" fontId="0" fillId="0" borderId="0" xfId="0" applyFill="1" applyBorder="1" applyAlignment="1" applyProtection="1">
      <alignment horizontal="center"/>
    </xf>
    <xf numFmtId="0" fontId="11" fillId="0" borderId="0" xfId="25"/>
    <xf numFmtId="0" fontId="94" fillId="0" borderId="0" xfId="25" applyFont="1" applyFill="1" applyProtection="1"/>
    <xf numFmtId="2" fontId="16" fillId="0" borderId="0" xfId="25" applyNumberFormat="1" applyFont="1" applyFill="1" applyAlignment="1" applyProtection="1">
      <alignment horizontal="left"/>
      <protection locked="0"/>
    </xf>
    <xf numFmtId="0" fontId="11" fillId="0" borderId="0" xfId="25" applyProtection="1"/>
    <xf numFmtId="0" fontId="11" fillId="0" borderId="0" xfId="25" applyFont="1" applyBorder="1" applyAlignment="1" applyProtection="1">
      <alignment horizontal="center"/>
    </xf>
    <xf numFmtId="0" fontId="94" fillId="0" borderId="0" xfId="25" applyFont="1" applyFill="1" applyAlignment="1" applyProtection="1">
      <alignment horizontal="center"/>
    </xf>
    <xf numFmtId="3" fontId="116" fillId="0" borderId="0" xfId="25" applyNumberFormat="1" applyFont="1" applyFill="1" applyBorder="1" applyProtection="1"/>
    <xf numFmtId="0" fontId="26" fillId="0" borderId="0" xfId="25" applyFont="1"/>
    <xf numFmtId="0" fontId="81" fillId="0" borderId="0" xfId="54" applyFont="1" applyFill="1" applyBorder="1" applyAlignment="1" applyProtection="1">
      <alignment horizontal="center"/>
    </xf>
    <xf numFmtId="0" fontId="29" fillId="0" borderId="0" xfId="25" applyFont="1" applyFill="1" applyBorder="1" applyAlignment="1" applyProtection="1"/>
    <xf numFmtId="0" fontId="117" fillId="0" borderId="0" xfId="25" applyFont="1" applyFill="1" applyAlignment="1" applyProtection="1"/>
    <xf numFmtId="0" fontId="29" fillId="0" borderId="0" xfId="25" applyFont="1" applyFill="1" applyAlignment="1" applyProtection="1"/>
    <xf numFmtId="0" fontId="94" fillId="0" borderId="0" xfId="25" applyFont="1" applyFill="1" applyBorder="1" applyAlignment="1" applyProtection="1">
      <alignment vertical="center"/>
    </xf>
    <xf numFmtId="0" fontId="11" fillId="0" borderId="0" xfId="0" applyFont="1" applyFill="1"/>
    <xf numFmtId="0" fontId="72" fillId="0" borderId="0" xfId="0" applyFont="1" applyFill="1"/>
    <xf numFmtId="3" fontId="11" fillId="0" borderId="0" xfId="0" applyNumberFormat="1" applyFont="1" applyFill="1"/>
    <xf numFmtId="0" fontId="0" fillId="0" borderId="0" xfId="0" applyFill="1"/>
    <xf numFmtId="0" fontId="26" fillId="0" borderId="0" xfId="0" applyFont="1" applyFill="1"/>
    <xf numFmtId="3" fontId="0" fillId="0" borderId="0" xfId="0" applyNumberFormat="1" applyFill="1"/>
    <xf numFmtId="0" fontId="0" fillId="0" borderId="0" xfId="0" applyFont="1" applyFill="1" applyAlignment="1">
      <alignment horizontal="center"/>
    </xf>
    <xf numFmtId="0" fontId="26" fillId="0" borderId="0" xfId="0" applyFont="1" applyFill="1" applyProtection="1"/>
    <xf numFmtId="0" fontId="41" fillId="0" borderId="0" xfId="0" applyFont="1" applyFill="1" applyBorder="1" applyProtection="1"/>
    <xf numFmtId="3" fontId="11" fillId="0" borderId="0" xfId="0" applyNumberFormat="1" applyFont="1" applyFill="1" applyProtection="1"/>
    <xf numFmtId="0" fontId="23" fillId="0" borderId="0" xfId="0" applyFont="1" applyFill="1" applyAlignment="1" applyProtection="1">
      <alignment horizontal="center" vertical="center" wrapText="1"/>
    </xf>
    <xf numFmtId="3" fontId="28" fillId="0" borderId="0" xfId="0" applyNumberFormat="1"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Alignment="1" applyProtection="1">
      <alignment vertical="center"/>
    </xf>
    <xf numFmtId="0" fontId="13" fillId="0" borderId="0" xfId="0" applyFont="1" applyFill="1"/>
    <xf numFmtId="0" fontId="13" fillId="0" borderId="0" xfId="0" applyFont="1"/>
    <xf numFmtId="0" fontId="27" fillId="0" borderId="0" xfId="0" applyFont="1"/>
    <xf numFmtId="0" fontId="27" fillId="0" borderId="0" xfId="0" applyFont="1" applyFill="1"/>
    <xf numFmtId="0" fontId="28" fillId="0" borderId="0" xfId="0" applyFont="1" applyFill="1"/>
    <xf numFmtId="0" fontId="29" fillId="0" borderId="0" xfId="0" applyFont="1"/>
    <xf numFmtId="0" fontId="26" fillId="0" borderId="0" xfId="0" applyFont="1"/>
    <xf numFmtId="0" fontId="17" fillId="0" borderId="0" xfId="0" applyFont="1"/>
    <xf numFmtId="0" fontId="16" fillId="0" borderId="0" xfId="0" applyFont="1"/>
    <xf numFmtId="3" fontId="50" fillId="0" borderId="0" xfId="0" applyNumberFormat="1" applyFont="1" applyFill="1" applyBorder="1" applyAlignment="1" applyProtection="1">
      <alignment vertical="center"/>
    </xf>
    <xf numFmtId="0" fontId="13" fillId="0" borderId="0" xfId="0" applyFont="1" applyAlignment="1">
      <alignment vertical="center"/>
    </xf>
    <xf numFmtId="0" fontId="27" fillId="0" borderId="0" xfId="0" applyFont="1" applyAlignment="1">
      <alignment vertical="center"/>
    </xf>
    <xf numFmtId="0" fontId="118" fillId="0" borderId="0" xfId="0" applyFont="1" applyFill="1"/>
    <xf numFmtId="3" fontId="72" fillId="0" borderId="0" xfId="0" applyNumberFormat="1" applyFont="1" applyFill="1" applyBorder="1" applyProtection="1"/>
    <xf numFmtId="3" fontId="44" fillId="0" borderId="0" xfId="0" applyNumberFormat="1" applyFont="1" applyFill="1" applyBorder="1" applyProtection="1"/>
    <xf numFmtId="3" fontId="81" fillId="0" borderId="0" xfId="52" applyNumberFormat="1" applyFont="1" applyFill="1" applyAlignment="1" applyProtection="1">
      <alignment horizontal="center"/>
    </xf>
    <xf numFmtId="3" fontId="0" fillId="0" borderId="0" xfId="0" applyNumberFormat="1" applyFill="1" applyBorder="1" applyProtection="1"/>
    <xf numFmtId="0" fontId="50" fillId="0" borderId="0" xfId="0" applyFont="1" applyFill="1" applyProtection="1"/>
    <xf numFmtId="0" fontId="11" fillId="0" borderId="0" xfId="0" applyFont="1" applyFill="1" applyProtection="1"/>
    <xf numFmtId="3" fontId="82" fillId="0" borderId="0" xfId="0" applyNumberFormat="1" applyFont="1" applyFill="1" applyAlignment="1" applyProtection="1">
      <alignment horizontal="center"/>
    </xf>
    <xf numFmtId="0" fontId="28"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92" fillId="0" borderId="0" xfId="0" applyFont="1" applyFill="1" applyProtection="1">
      <protection locked="0"/>
    </xf>
    <xf numFmtId="2" fontId="41" fillId="0" borderId="0" xfId="0" applyNumberFormat="1" applyFont="1" applyFill="1" applyAlignment="1" applyProtection="1"/>
    <xf numFmtId="0" fontId="92" fillId="0" borderId="0" xfId="0" applyFont="1" applyFill="1" applyProtection="1"/>
    <xf numFmtId="0" fontId="0" fillId="0" borderId="0" xfId="0" applyFont="1" applyFill="1" applyAlignment="1" applyProtection="1">
      <alignment horizontal="right"/>
    </xf>
    <xf numFmtId="0" fontId="119" fillId="0" borderId="0" xfId="0" applyFont="1" applyFill="1" applyProtection="1"/>
    <xf numFmtId="0" fontId="25" fillId="0" borderId="11" xfId="0" applyFont="1" applyBorder="1" applyAlignment="1" applyProtection="1">
      <alignment vertical="center" wrapText="1"/>
    </xf>
    <xf numFmtId="0" fontId="25" fillId="0" borderId="14" xfId="0" applyFont="1" applyBorder="1" applyAlignment="1" applyProtection="1">
      <alignment vertical="center" wrapText="1"/>
    </xf>
    <xf numFmtId="0" fontId="18" fillId="0" borderId="25" xfId="0" applyFont="1" applyBorder="1" applyAlignment="1" applyProtection="1">
      <alignment horizontal="center" vertical="center" wrapText="1"/>
    </xf>
    <xf numFmtId="3" fontId="17" fillId="0" borderId="5" xfId="0" applyNumberFormat="1" applyFont="1" applyBorder="1" applyAlignment="1" applyProtection="1">
      <alignment vertical="center"/>
    </xf>
    <xf numFmtId="3" fontId="121" fillId="10" borderId="0" xfId="0" applyNumberFormat="1" applyFont="1" applyFill="1" applyProtection="1"/>
    <xf numFmtId="0" fontId="0" fillId="0" borderId="11" xfId="0" applyBorder="1" applyAlignment="1" applyProtection="1">
      <alignment horizontal="center"/>
      <protection locked="0"/>
    </xf>
    <xf numFmtId="49" fontId="0" fillId="0" borderId="29" xfId="0" applyNumberFormat="1" applyBorder="1" applyAlignment="1" applyProtection="1">
      <alignment vertical="center" wrapText="1"/>
      <protection locked="0"/>
    </xf>
    <xf numFmtId="0" fontId="0" fillId="0" borderId="12" xfId="0" applyBorder="1" applyProtection="1">
      <protection locked="0"/>
    </xf>
    <xf numFmtId="0" fontId="0" fillId="0" borderId="29" xfId="0" applyBorder="1" applyProtection="1">
      <protection locked="0"/>
    </xf>
    <xf numFmtId="0" fontId="0" fillId="0" borderId="14" xfId="0" applyBorder="1" applyAlignment="1" applyProtection="1">
      <alignment horizontal="center"/>
      <protection locked="0"/>
    </xf>
    <xf numFmtId="0" fontId="0" fillId="0" borderId="35" xfId="0" applyBorder="1" applyProtection="1">
      <protection locked="0"/>
    </xf>
    <xf numFmtId="0" fontId="0" fillId="0" borderId="15" xfId="0" applyBorder="1" applyProtection="1">
      <protection locked="0"/>
    </xf>
    <xf numFmtId="0" fontId="0" fillId="0" borderId="0" xfId="0" applyAlignment="1" applyProtection="1">
      <alignment horizontal="center"/>
      <protection locked="0"/>
    </xf>
    <xf numFmtId="0" fontId="59" fillId="0" borderId="0" xfId="0" applyFont="1" applyProtection="1">
      <protection locked="0"/>
    </xf>
    <xf numFmtId="0" fontId="16" fillId="0" borderId="0" xfId="0" applyFont="1" applyProtection="1">
      <protection locked="0"/>
    </xf>
    <xf numFmtId="0" fontId="122" fillId="0" borderId="0" xfId="38" applyFont="1" applyProtection="1">
      <protection locked="0"/>
    </xf>
    <xf numFmtId="0" fontId="31" fillId="0" borderId="0" xfId="0" applyFont="1" applyFill="1" applyAlignment="1" applyProtection="1">
      <protection locked="0"/>
    </xf>
    <xf numFmtId="0" fontId="11" fillId="0" borderId="0" xfId="0" applyFont="1" applyFill="1" applyProtection="1">
      <protection locked="0"/>
    </xf>
    <xf numFmtId="0" fontId="11" fillId="12" borderId="0" xfId="0" applyFont="1" applyFill="1" applyProtection="1">
      <protection locked="0"/>
    </xf>
    <xf numFmtId="0" fontId="29" fillId="0" borderId="0" xfId="0" applyFont="1" applyAlignment="1" applyProtection="1">
      <alignment horizontal="center"/>
      <protection locked="0"/>
    </xf>
    <xf numFmtId="0" fontId="12" fillId="0" borderId="0" xfId="49" applyFont="1" applyFill="1" applyProtection="1">
      <protection locked="0"/>
    </xf>
    <xf numFmtId="0" fontId="12" fillId="12" borderId="0" xfId="49" applyFont="1" applyFill="1" applyProtection="1">
      <protection locked="0"/>
    </xf>
    <xf numFmtId="0" fontId="13" fillId="0" borderId="0" xfId="49" applyFont="1" applyFill="1" applyProtection="1">
      <protection locked="0"/>
    </xf>
    <xf numFmtId="0" fontId="13" fillId="12" borderId="0" xfId="49" applyFont="1" applyFill="1" applyProtection="1">
      <protection locked="0"/>
    </xf>
    <xf numFmtId="0" fontId="29" fillId="0" borderId="0" xfId="49" applyFont="1" applyFill="1" applyProtection="1">
      <protection locked="0"/>
    </xf>
    <xf numFmtId="0" fontId="31" fillId="0" borderId="0" xfId="49" applyFont="1" applyFill="1" applyAlignment="1" applyProtection="1">
      <alignment horizontal="center" wrapText="1"/>
      <protection locked="0"/>
    </xf>
    <xf numFmtId="3" fontId="12" fillId="12" borderId="0" xfId="49" applyNumberFormat="1" applyFont="1" applyFill="1" applyProtection="1">
      <protection locked="0"/>
    </xf>
    <xf numFmtId="0" fontId="124" fillId="0" borderId="0" xfId="49" applyFont="1" applyFill="1" applyAlignment="1" applyProtection="1">
      <alignment horizontal="right"/>
      <protection locked="0"/>
    </xf>
    <xf numFmtId="0" fontId="12" fillId="0" borderId="0" xfId="49" applyFont="1" applyFill="1" applyAlignment="1" applyProtection="1">
      <alignment horizontal="center" vertical="center" wrapText="1"/>
      <protection locked="0"/>
    </xf>
    <xf numFmtId="3" fontId="41" fillId="0" borderId="29" xfId="47" applyNumberFormat="1" applyFont="1" applyFill="1" applyBorder="1" applyAlignment="1" applyProtection="1">
      <alignment horizontal="center" vertical="center" wrapText="1"/>
      <protection locked="0"/>
    </xf>
    <xf numFmtId="0" fontId="41" fillId="0" borderId="29" xfId="49" applyFont="1" applyFill="1" applyBorder="1" applyAlignment="1" applyProtection="1">
      <alignment horizontal="center" vertical="center" wrapText="1"/>
      <protection locked="0"/>
    </xf>
    <xf numFmtId="0" fontId="41" fillId="12" borderId="29" xfId="49" applyFont="1" applyFill="1" applyBorder="1" applyAlignment="1" applyProtection="1">
      <alignment horizontal="center" vertical="center" wrapText="1"/>
      <protection locked="0"/>
    </xf>
    <xf numFmtId="0" fontId="11" fillId="0" borderId="0" xfId="49" applyFont="1" applyFill="1" applyProtection="1">
      <protection locked="0"/>
    </xf>
    <xf numFmtId="0" fontId="27" fillId="0" borderId="0" xfId="49" applyFont="1" applyFill="1" applyProtection="1">
      <protection locked="0"/>
    </xf>
    <xf numFmtId="4" fontId="123" fillId="0" borderId="29" xfId="34" applyNumberFormat="1" applyFont="1" applyFill="1" applyBorder="1" applyAlignment="1" applyProtection="1">
      <alignment horizontal="justify" vertical="center" wrapText="1"/>
      <protection locked="0"/>
    </xf>
    <xf numFmtId="4" fontId="11" fillId="0" borderId="29" xfId="34" applyNumberFormat="1" applyFont="1" applyFill="1" applyBorder="1" applyAlignment="1">
      <alignment horizontal="justify" vertical="center" wrapText="1"/>
    </xf>
    <xf numFmtId="170" fontId="123" fillId="0" borderId="29" xfId="46" applyNumberFormat="1" applyFont="1" applyFill="1" applyBorder="1" applyProtection="1">
      <protection locked="0"/>
    </xf>
    <xf numFmtId="3" fontId="123" fillId="0" borderId="29" xfId="0" applyNumberFormat="1" applyFont="1" applyFill="1" applyBorder="1" applyProtection="1">
      <protection locked="0"/>
    </xf>
    <xf numFmtId="170" fontId="11" fillId="0" borderId="29" xfId="42" applyNumberFormat="1" applyFont="1" applyFill="1" applyBorder="1" applyAlignment="1" applyProtection="1">
      <alignment wrapText="1"/>
      <protection locked="0"/>
    </xf>
    <xf numFmtId="170" fontId="123" fillId="0" borderId="29" xfId="42" applyNumberFormat="1" applyFont="1" applyFill="1" applyBorder="1" applyAlignment="1" applyProtection="1">
      <alignment wrapText="1"/>
      <protection locked="0"/>
    </xf>
    <xf numFmtId="3" fontId="41" fillId="0" borderId="29" xfId="51" applyNumberFormat="1" applyFont="1" applyFill="1" applyBorder="1" applyAlignment="1" applyProtection="1">
      <alignment vertical="center" wrapText="1"/>
      <protection locked="0"/>
    </xf>
    <xf numFmtId="170" fontId="41" fillId="12" borderId="29" xfId="42" applyNumberFormat="1" applyFont="1" applyFill="1" applyBorder="1" applyAlignment="1">
      <alignment wrapText="1"/>
    </xf>
    <xf numFmtId="4" fontId="11" fillId="12" borderId="29" xfId="0" applyNumberFormat="1" applyFont="1" applyFill="1" applyBorder="1" applyAlignment="1">
      <alignment horizontal="left" vertical="center" wrapText="1"/>
    </xf>
    <xf numFmtId="4" fontId="63" fillId="0" borderId="29" xfId="34" applyNumberFormat="1" applyFont="1" applyFill="1" applyBorder="1" applyAlignment="1" applyProtection="1">
      <alignment horizontal="center"/>
      <protection locked="0"/>
    </xf>
    <xf numFmtId="4" fontId="16" fillId="0" borderId="29" xfId="42" applyNumberFormat="1" applyFont="1" applyFill="1" applyBorder="1" applyAlignment="1" applyProtection="1">
      <alignment wrapText="1"/>
      <protection locked="0"/>
    </xf>
    <xf numFmtId="0" fontId="16" fillId="0" borderId="0" xfId="49" applyFont="1" applyFill="1" applyProtection="1">
      <protection locked="0"/>
    </xf>
    <xf numFmtId="0" fontId="16" fillId="0" borderId="29" xfId="49" applyFont="1" applyFill="1" applyBorder="1" applyAlignment="1" applyProtection="1">
      <alignment horizontal="center"/>
      <protection locked="0"/>
    </xf>
    <xf numFmtId="0" fontId="16" fillId="0" borderId="0" xfId="49" applyFont="1" applyFill="1" applyBorder="1" applyAlignment="1" applyProtection="1">
      <alignment horizontal="center"/>
      <protection locked="0"/>
    </xf>
    <xf numFmtId="0" fontId="12" fillId="0" borderId="0" xfId="49" applyFont="1" applyFill="1" applyBorder="1" applyProtection="1">
      <protection locked="0"/>
    </xf>
    <xf numFmtId="3" fontId="12" fillId="12" borderId="0" xfId="49" applyNumberFormat="1" applyFont="1" applyFill="1" applyBorder="1" applyProtection="1">
      <protection locked="0"/>
    </xf>
    <xf numFmtId="0" fontId="12" fillId="12" borderId="0" xfId="49" applyFont="1" applyFill="1" applyBorder="1" applyProtection="1">
      <protection locked="0"/>
    </xf>
    <xf numFmtId="3" fontId="12" fillId="0" borderId="0" xfId="49" applyNumberFormat="1" applyFont="1" applyFill="1" applyProtection="1">
      <protection locked="0"/>
    </xf>
    <xf numFmtId="0" fontId="26" fillId="0" borderId="0" xfId="49" applyFont="1" applyFill="1" applyAlignment="1" applyProtection="1">
      <protection locked="0"/>
    </xf>
    <xf numFmtId="0" fontId="27" fillId="12" borderId="0" xfId="49" applyFont="1" applyFill="1" applyProtection="1">
      <protection locked="0"/>
    </xf>
    <xf numFmtId="0" fontId="31" fillId="0" borderId="0" xfId="0" applyFont="1" applyAlignment="1" applyProtection="1">
      <protection locked="0"/>
    </xf>
    <xf numFmtId="1" fontId="56" fillId="0" borderId="0" xfId="43" applyNumberFormat="1" applyFont="1" applyFill="1" applyBorder="1" applyAlignment="1">
      <alignment horizontal="center"/>
    </xf>
    <xf numFmtId="4" fontId="74" fillId="0" borderId="0" xfId="43" applyNumberFormat="1" applyFont="1" applyFill="1" applyBorder="1" applyProtection="1"/>
    <xf numFmtId="3" fontId="29" fillId="0" borderId="0" xfId="33" applyNumberFormat="1" applyFont="1" applyFill="1" applyBorder="1" applyAlignment="1">
      <alignment horizontal="left"/>
    </xf>
    <xf numFmtId="3" fontId="31" fillId="0" borderId="0" xfId="33" applyNumberFormat="1" applyFont="1" applyFill="1" applyBorder="1" applyAlignment="1">
      <alignment horizontal="left"/>
    </xf>
    <xf numFmtId="3" fontId="11" fillId="0" borderId="0" xfId="40" applyNumberFormat="1" applyFont="1" applyBorder="1"/>
    <xf numFmtId="3" fontId="11" fillId="0" borderId="0" xfId="40" applyNumberFormat="1" applyFont="1" applyBorder="1" applyAlignment="1">
      <alignment vertical="center" wrapText="1"/>
    </xf>
    <xf numFmtId="3" fontId="31" fillId="0" borderId="0" xfId="40" applyNumberFormat="1" applyFont="1" applyBorder="1"/>
    <xf numFmtId="3" fontId="41" fillId="0" borderId="0" xfId="33" applyNumberFormat="1" applyFont="1" applyBorder="1" applyAlignment="1">
      <alignment horizontal="center"/>
    </xf>
    <xf numFmtId="3" fontId="41" fillId="0" borderId="0" xfId="40" applyNumberFormat="1" applyFont="1" applyBorder="1" applyAlignment="1">
      <alignment horizontal="center"/>
    </xf>
    <xf numFmtId="3" fontId="31" fillId="0" borderId="0" xfId="40" applyNumberFormat="1" applyFont="1" applyFill="1" applyBorder="1" applyAlignment="1">
      <alignment horizontal="center"/>
    </xf>
    <xf numFmtId="3" fontId="41" fillId="0" borderId="0" xfId="40" applyNumberFormat="1" applyFont="1" applyBorder="1" applyAlignment="1">
      <alignment horizontal="left" vertical="center" wrapText="1"/>
    </xf>
    <xf numFmtId="3" fontId="125" fillId="0" borderId="0" xfId="40" applyNumberFormat="1" applyFont="1" applyBorder="1" applyAlignment="1">
      <alignment horizontal="center" vertical="center" wrapText="1"/>
    </xf>
    <xf numFmtId="3" fontId="56" fillId="0" borderId="0" xfId="40" applyNumberFormat="1" applyFont="1" applyBorder="1" applyAlignment="1">
      <alignment horizontal="center" vertical="center" wrapText="1"/>
    </xf>
    <xf numFmtId="3" fontId="123" fillId="0" borderId="0" xfId="40" applyNumberFormat="1" applyFont="1" applyBorder="1" applyAlignment="1">
      <alignment horizontal="right"/>
    </xf>
    <xf numFmtId="3" fontId="74" fillId="0" borderId="0" xfId="40" applyNumberFormat="1" applyFont="1" applyBorder="1" applyAlignment="1">
      <alignment horizontal="center" vertical="center" wrapText="1"/>
    </xf>
    <xf numFmtId="3" fontId="56" fillId="0" borderId="39" xfId="40" applyNumberFormat="1" applyFont="1" applyBorder="1" applyAlignment="1">
      <alignment horizontal="center" vertical="center" wrapText="1"/>
    </xf>
    <xf numFmtId="3" fontId="31" fillId="0" borderId="29" xfId="40" applyNumberFormat="1" applyFont="1" applyBorder="1"/>
    <xf numFmtId="3" fontId="31" fillId="0" borderId="29" xfId="40" applyNumberFormat="1" applyFont="1" applyBorder="1" applyAlignment="1">
      <alignment horizontal="left"/>
    </xf>
    <xf numFmtId="3" fontId="11" fillId="0" borderId="29" xfId="40" applyNumberFormat="1" applyFont="1" applyFill="1" applyBorder="1"/>
    <xf numFmtId="3" fontId="11" fillId="0" borderId="29" xfId="40" applyNumberFormat="1" applyFont="1" applyFill="1" applyBorder="1" applyAlignment="1"/>
    <xf numFmtId="3" fontId="11" fillId="0" borderId="29" xfId="40" applyNumberFormat="1" applyFont="1" applyFill="1" applyBorder="1" applyProtection="1"/>
    <xf numFmtId="3" fontId="11" fillId="0" borderId="0" xfId="40" applyNumberFormat="1" applyFont="1" applyFill="1" applyBorder="1"/>
    <xf numFmtId="4" fontId="11" fillId="0" borderId="0" xfId="40" applyNumberFormat="1" applyFont="1" applyFill="1" applyBorder="1"/>
    <xf numFmtId="3" fontId="11" fillId="0" borderId="29" xfId="40" applyNumberFormat="1" applyFont="1" applyBorder="1"/>
    <xf numFmtId="3" fontId="31" fillId="0" borderId="29" xfId="40" applyNumberFormat="1" applyFont="1" applyFill="1" applyBorder="1" applyAlignment="1">
      <alignment vertical="center" wrapText="1"/>
    </xf>
    <xf numFmtId="3" fontId="87" fillId="0" borderId="29" xfId="40" applyNumberFormat="1" applyFont="1" applyFill="1" applyBorder="1" applyAlignment="1" applyProtection="1">
      <alignment vertical="center" wrapText="1"/>
    </xf>
    <xf numFmtId="3" fontId="41" fillId="0" borderId="29" xfId="40" applyNumberFormat="1" applyFont="1" applyBorder="1" applyAlignment="1">
      <alignment horizontal="center"/>
    </xf>
    <xf numFmtId="3" fontId="41" fillId="0" borderId="29" xfId="40" applyNumberFormat="1" applyFont="1" applyBorder="1" applyAlignment="1">
      <alignment vertical="center" wrapText="1"/>
    </xf>
    <xf numFmtId="3" fontId="31" fillId="0" borderId="29" xfId="40" applyNumberFormat="1" applyFont="1" applyBorder="1" applyProtection="1"/>
    <xf numFmtId="3" fontId="31" fillId="0" borderId="29" xfId="40" applyNumberFormat="1" applyFont="1" applyFill="1" applyBorder="1" applyAlignment="1">
      <alignment horizontal="left"/>
    </xf>
    <xf numFmtId="3" fontId="31" fillId="0" borderId="29" xfId="40" applyNumberFormat="1" applyFont="1" applyFill="1" applyBorder="1" applyAlignment="1">
      <alignment horizontal="center"/>
    </xf>
    <xf numFmtId="3" fontId="31" fillId="0" borderId="0" xfId="40" applyNumberFormat="1" applyFont="1" applyFill="1" applyBorder="1"/>
    <xf numFmtId="3" fontId="87" fillId="0" borderId="29" xfId="40" applyNumberFormat="1" applyFont="1" applyFill="1" applyBorder="1" applyProtection="1"/>
    <xf numFmtId="3" fontId="31" fillId="0" borderId="29" xfId="40" applyNumberFormat="1" applyFont="1" applyFill="1" applyBorder="1" applyAlignment="1">
      <alignment horizontal="center" vertical="center"/>
    </xf>
    <xf numFmtId="3" fontId="41" fillId="0" borderId="29" xfId="40" applyNumberFormat="1" applyFont="1" applyFill="1" applyBorder="1" applyAlignment="1">
      <alignment vertical="center" wrapText="1"/>
    </xf>
    <xf numFmtId="3" fontId="127" fillId="0" borderId="29" xfId="40" applyNumberFormat="1" applyFont="1" applyFill="1" applyBorder="1" applyProtection="1"/>
    <xf numFmtId="3" fontId="41" fillId="0" borderId="0" xfId="40" applyNumberFormat="1" applyFont="1" applyFill="1" applyBorder="1"/>
    <xf numFmtId="3" fontId="11" fillId="0" borderId="29" xfId="40" applyNumberFormat="1" applyFont="1" applyFill="1" applyBorder="1" applyAlignment="1" applyProtection="1"/>
    <xf numFmtId="3" fontId="127" fillId="0" borderId="29" xfId="40" applyNumberFormat="1" applyFont="1" applyBorder="1" applyProtection="1"/>
    <xf numFmtId="3" fontId="41" fillId="0" borderId="0" xfId="40" applyNumberFormat="1" applyFont="1" applyBorder="1"/>
    <xf numFmtId="3" fontId="11" fillId="0" borderId="29" xfId="40" applyNumberFormat="1" applyFont="1" applyBorder="1" applyProtection="1"/>
    <xf numFmtId="3" fontId="11" fillId="0" borderId="29" xfId="40" applyNumberFormat="1" applyFont="1" applyFill="1" applyBorder="1" applyAlignment="1">
      <alignment vertical="center" wrapText="1"/>
    </xf>
    <xf numFmtId="0" fontId="11" fillId="0" borderId="0" xfId="40" applyFont="1" applyBorder="1"/>
    <xf numFmtId="0" fontId="11" fillId="0" borderId="0" xfId="33" applyFont="1" applyFill="1" applyBorder="1"/>
    <xf numFmtId="0" fontId="11" fillId="0" borderId="0" xfId="33" applyFont="1" applyFill="1" applyBorder="1" applyAlignment="1">
      <alignment vertical="center" wrapText="1"/>
    </xf>
    <xf numFmtId="3" fontId="11" fillId="0" borderId="0" xfId="33" applyNumberFormat="1" applyFont="1" applyFill="1" applyBorder="1" applyAlignment="1">
      <alignment vertical="center" wrapText="1"/>
    </xf>
    <xf numFmtId="3" fontId="41" fillId="0" borderId="0" xfId="33" applyNumberFormat="1" applyFont="1" applyFill="1" applyBorder="1" applyAlignment="1">
      <alignment vertical="center" wrapText="1"/>
    </xf>
    <xf numFmtId="0" fontId="31" fillId="0" borderId="0" xfId="33" applyFont="1" applyFill="1" applyBorder="1" applyAlignment="1">
      <alignment horizontal="center"/>
    </xf>
    <xf numFmtId="0" fontId="41" fillId="0" borderId="0" xfId="33" applyFont="1" applyFill="1" applyBorder="1"/>
    <xf numFmtId="0" fontId="31" fillId="0" borderId="0" xfId="33" applyFont="1" applyFill="1" applyBorder="1" applyAlignment="1">
      <alignment horizontal="left" vertical="center" wrapText="1"/>
    </xf>
    <xf numFmtId="3" fontId="123" fillId="0" borderId="0" xfId="33" applyNumberFormat="1" applyFont="1" applyFill="1" applyBorder="1" applyAlignment="1">
      <alignment horizontal="right" vertical="center" wrapText="1"/>
    </xf>
    <xf numFmtId="0" fontId="31" fillId="0" borderId="29" xfId="33" applyFont="1" applyFill="1" applyBorder="1" applyAlignment="1">
      <alignment horizontal="center" vertical="center" wrapText="1"/>
    </xf>
    <xf numFmtId="0" fontId="31" fillId="0" borderId="29" xfId="33" applyFont="1" applyFill="1" applyBorder="1" applyAlignment="1">
      <alignment horizontal="left" vertical="center" wrapText="1"/>
    </xf>
    <xf numFmtId="0" fontId="31" fillId="0" borderId="29" xfId="33" applyFont="1" applyFill="1" applyBorder="1" applyAlignment="1">
      <alignment vertical="center" wrapText="1"/>
    </xf>
    <xf numFmtId="3" fontId="12" fillId="0" borderId="29" xfId="33" applyNumberFormat="1" applyFont="1" applyFill="1" applyBorder="1" applyAlignment="1">
      <alignment vertical="center" wrapText="1"/>
    </xf>
    <xf numFmtId="3" fontId="11" fillId="0" borderId="0" xfId="33" applyNumberFormat="1" applyBorder="1"/>
    <xf numFmtId="0" fontId="11" fillId="0" borderId="29" xfId="33" applyFont="1" applyFill="1" applyBorder="1" applyAlignment="1"/>
    <xf numFmtId="3" fontId="11" fillId="0" borderId="29" xfId="33" applyNumberFormat="1" applyFont="1" applyFill="1" applyBorder="1" applyProtection="1"/>
    <xf numFmtId="4" fontId="11" fillId="0" borderId="0" xfId="33" applyNumberFormat="1" applyFont="1" applyFill="1" applyBorder="1"/>
    <xf numFmtId="3" fontId="12" fillId="0" borderId="29" xfId="33" applyNumberFormat="1" applyFont="1" applyFill="1" applyBorder="1" applyProtection="1"/>
    <xf numFmtId="3" fontId="31" fillId="0" borderId="29" xfId="33" applyNumberFormat="1" applyFont="1" applyFill="1" applyBorder="1" applyAlignment="1">
      <alignment vertical="center" wrapText="1"/>
    </xf>
    <xf numFmtId="0" fontId="41" fillId="0" borderId="29" xfId="33" applyFont="1" applyFill="1" applyBorder="1" applyAlignment="1">
      <alignment horizontal="center" vertical="center" wrapText="1"/>
    </xf>
    <xf numFmtId="0" fontId="41" fillId="0" borderId="29" xfId="33" applyFont="1" applyFill="1" applyBorder="1" applyAlignment="1">
      <alignment vertical="center" wrapText="1"/>
    </xf>
    <xf numFmtId="3" fontId="128" fillId="0" borderId="0" xfId="33" applyNumberFormat="1" applyFont="1" applyFill="1" applyBorder="1" applyAlignment="1">
      <alignment horizontal="left" vertical="center" wrapText="1"/>
    </xf>
    <xf numFmtId="3" fontId="31" fillId="0" borderId="0" xfId="33" applyNumberFormat="1" applyFont="1" applyFill="1" applyBorder="1"/>
    <xf numFmtId="3" fontId="11" fillId="0" borderId="0" xfId="45" applyNumberFormat="1" applyFont="1" applyFill="1" applyAlignment="1">
      <alignment vertical="center" wrapText="1"/>
    </xf>
    <xf numFmtId="0" fontId="31" fillId="0" borderId="0" xfId="55" applyFont="1" applyFill="1" applyBorder="1" applyAlignment="1"/>
    <xf numFmtId="0" fontId="11" fillId="0" borderId="0" xfId="33" applyFont="1" applyBorder="1"/>
    <xf numFmtId="0" fontId="11" fillId="0" borderId="0" xfId="33" applyFill="1" applyBorder="1"/>
    <xf numFmtId="0" fontId="11" fillId="0" borderId="0" xfId="33" applyFill="1" applyBorder="1" applyAlignment="1">
      <alignment vertical="center" wrapText="1"/>
    </xf>
    <xf numFmtId="0" fontId="123" fillId="0" borderId="0" xfId="33" applyFont="1" applyFill="1" applyBorder="1" applyAlignment="1">
      <alignment horizontal="right"/>
    </xf>
    <xf numFmtId="0" fontId="11" fillId="0" borderId="29" xfId="33" applyFill="1" applyBorder="1"/>
    <xf numFmtId="4" fontId="11" fillId="0" borderId="0" xfId="33" applyNumberFormat="1" applyFill="1" applyBorder="1"/>
    <xf numFmtId="0" fontId="11" fillId="0" borderId="29" xfId="33" applyFont="1" applyFill="1" applyBorder="1"/>
    <xf numFmtId="0" fontId="41" fillId="0" borderId="29" xfId="33" applyFont="1" applyFill="1" applyBorder="1"/>
    <xf numFmtId="3" fontId="128" fillId="0" borderId="0" xfId="33" applyNumberFormat="1" applyFont="1" applyFill="1" applyBorder="1" applyAlignment="1">
      <alignment vertical="center" wrapText="1"/>
    </xf>
    <xf numFmtId="3" fontId="11" fillId="0" borderId="0" xfId="33" applyNumberFormat="1" applyFill="1" applyBorder="1"/>
    <xf numFmtId="0" fontId="31" fillId="0" borderId="0" xfId="33" applyFont="1" applyFill="1" applyBorder="1"/>
    <xf numFmtId="0" fontId="76" fillId="0" borderId="0" xfId="33" applyFont="1" applyFill="1" applyBorder="1"/>
    <xf numFmtId="0" fontId="130" fillId="0" borderId="0" xfId="33" applyFont="1" applyFill="1" applyBorder="1" applyAlignment="1">
      <alignment vertical="center" wrapText="1"/>
    </xf>
    <xf numFmtId="3" fontId="131" fillId="0" borderId="0" xfId="33" applyNumberFormat="1" applyFont="1" applyFill="1" applyBorder="1" applyAlignment="1">
      <alignment horizontal="right"/>
    </xf>
    <xf numFmtId="0" fontId="11" fillId="0" borderId="0" xfId="25" applyFill="1" applyBorder="1"/>
    <xf numFmtId="0" fontId="11" fillId="0" borderId="0" xfId="25" applyFill="1" applyBorder="1" applyAlignment="1">
      <alignment vertical="center" wrapText="1"/>
    </xf>
    <xf numFmtId="3" fontId="29" fillId="0" borderId="0" xfId="25" applyNumberFormat="1" applyFont="1" applyFill="1" applyBorder="1" applyAlignment="1">
      <alignment horizontal="left"/>
    </xf>
    <xf numFmtId="3" fontId="31" fillId="0" borderId="0" xfId="25" applyNumberFormat="1" applyFont="1" applyFill="1" applyBorder="1" applyAlignment="1">
      <alignment horizontal="left"/>
    </xf>
    <xf numFmtId="3" fontId="41" fillId="0" borderId="0" xfId="25" applyNumberFormat="1" applyFont="1" applyBorder="1" applyAlignment="1"/>
    <xf numFmtId="3" fontId="41" fillId="0" borderId="0" xfId="25" applyNumberFormat="1" applyFont="1" applyFill="1" applyBorder="1" applyAlignment="1">
      <alignment vertical="center" wrapText="1"/>
    </xf>
    <xf numFmtId="0" fontId="31" fillId="0" borderId="0" xfId="25" applyFont="1" applyFill="1" applyBorder="1" applyAlignment="1">
      <alignment horizontal="center" vertical="center" wrapText="1"/>
    </xf>
    <xf numFmtId="0" fontId="31" fillId="0" borderId="0" xfId="25" applyFont="1" applyFill="1" applyBorder="1" applyAlignment="1">
      <alignment horizontal="left" vertical="center" wrapText="1"/>
    </xf>
    <xf numFmtId="0" fontId="123" fillId="0" borderId="0" xfId="25" applyFont="1" applyFill="1" applyBorder="1" applyAlignment="1">
      <alignment horizontal="right"/>
    </xf>
    <xf numFmtId="0" fontId="11" fillId="0" borderId="29" xfId="25" applyFill="1" applyBorder="1"/>
    <xf numFmtId="0" fontId="31" fillId="0" borderId="29" xfId="25" applyFont="1" applyFill="1" applyBorder="1" applyAlignment="1">
      <alignment horizontal="left" vertical="center" wrapText="1"/>
    </xf>
    <xf numFmtId="0" fontId="31" fillId="0" borderId="29" xfId="25" applyFont="1" applyFill="1" applyBorder="1" applyAlignment="1">
      <alignment vertical="center" wrapText="1"/>
    </xf>
    <xf numFmtId="3" fontId="12" fillId="0" borderId="29" xfId="25" applyNumberFormat="1" applyFont="1" applyFill="1" applyBorder="1" applyAlignment="1">
      <alignment vertical="center" wrapText="1"/>
    </xf>
    <xf numFmtId="0" fontId="11" fillId="0" borderId="29" xfId="25" applyFont="1" applyFill="1" applyBorder="1" applyAlignment="1"/>
    <xf numFmtId="4" fontId="11" fillId="0" borderId="0" xfId="25" applyNumberFormat="1" applyFill="1" applyBorder="1"/>
    <xf numFmtId="4" fontId="11" fillId="0" borderId="0" xfId="25" applyNumberFormat="1" applyFont="1" applyFill="1" applyBorder="1"/>
    <xf numFmtId="0" fontId="11" fillId="0" borderId="29" xfId="25" applyFont="1" applyFill="1" applyBorder="1"/>
    <xf numFmtId="0" fontId="11" fillId="0" borderId="0" xfId="25" applyFont="1" applyFill="1" applyBorder="1"/>
    <xf numFmtId="0" fontId="127" fillId="0" borderId="29" xfId="25" applyFont="1" applyFill="1" applyBorder="1" applyAlignment="1">
      <alignment vertical="center" wrapText="1"/>
    </xf>
    <xf numFmtId="3" fontId="31" fillId="0" borderId="29" xfId="25" applyNumberFormat="1" applyFont="1" applyFill="1" applyBorder="1" applyAlignment="1">
      <alignment vertical="center" wrapText="1"/>
    </xf>
    <xf numFmtId="0" fontId="41" fillId="0" borderId="29" xfId="25" applyFont="1" applyFill="1" applyBorder="1"/>
    <xf numFmtId="0" fontId="41" fillId="0" borderId="29" xfId="25" applyFont="1" applyFill="1" applyBorder="1" applyAlignment="1">
      <alignment vertical="center" wrapText="1"/>
    </xf>
    <xf numFmtId="0" fontId="41" fillId="0" borderId="0" xfId="25" applyFont="1" applyFill="1" applyBorder="1"/>
    <xf numFmtId="3" fontId="128" fillId="0" borderId="0" xfId="25" applyNumberFormat="1" applyFont="1" applyFill="1" applyBorder="1" applyAlignment="1">
      <alignment vertical="center" wrapText="1"/>
    </xf>
    <xf numFmtId="3" fontId="79" fillId="0" borderId="0" xfId="40" applyNumberFormat="1" applyFont="1" applyBorder="1" applyAlignment="1">
      <alignment horizontal="left" wrapText="1"/>
    </xf>
    <xf numFmtId="0" fontId="11" fillId="0" borderId="0" xfId="25" applyAlignment="1">
      <alignment horizontal="left" vertical="center" wrapText="1"/>
    </xf>
    <xf numFmtId="0" fontId="11" fillId="0" borderId="0" xfId="25" applyAlignment="1">
      <alignment horizontal="center"/>
    </xf>
    <xf numFmtId="3" fontId="29" fillId="0" borderId="0" xfId="25" applyNumberFormat="1" applyFont="1"/>
    <xf numFmtId="0" fontId="31" fillId="0" borderId="0" xfId="25" applyFont="1"/>
    <xf numFmtId="0" fontId="31" fillId="0" borderId="0" xfId="25" applyFont="1" applyAlignment="1">
      <alignment horizontal="center"/>
    </xf>
    <xf numFmtId="4" fontId="11" fillId="0" borderId="0" xfId="25" applyNumberFormat="1"/>
    <xf numFmtId="0" fontId="11" fillId="0" borderId="0" xfId="25" applyFill="1" applyBorder="1" applyAlignment="1">
      <alignment horizontal="left" vertical="center" wrapText="1"/>
    </xf>
    <xf numFmtId="0" fontId="11" fillId="0" borderId="0" xfId="25" applyFill="1" applyBorder="1" applyAlignment="1">
      <alignment horizontal="left" wrapText="1"/>
    </xf>
    <xf numFmtId="0" fontId="31" fillId="0" borderId="0" xfId="25" applyFont="1" applyAlignment="1">
      <alignment horizontal="right"/>
    </xf>
    <xf numFmtId="0" fontId="11" fillId="0" borderId="0" xfId="25" applyAlignment="1">
      <alignment horizontal="center" vertical="center" wrapText="1"/>
    </xf>
    <xf numFmtId="0" fontId="12" fillId="0" borderId="0" xfId="37" applyBorder="1" applyProtection="1"/>
    <xf numFmtId="0" fontId="17" fillId="0" borderId="0" xfId="0" applyFont="1" applyFill="1" applyAlignment="1" applyProtection="1">
      <alignment horizontal="center"/>
      <protection locked="0"/>
    </xf>
    <xf numFmtId="0" fontId="26" fillId="0" borderId="0" xfId="0" applyFont="1" applyFill="1" applyBorder="1" applyAlignment="1" applyProtection="1"/>
    <xf numFmtId="0" fontId="29" fillId="0" borderId="0" xfId="25" applyFont="1" applyFill="1" applyBorder="1" applyAlignment="1">
      <alignment horizontal="center" vertical="center" wrapText="1"/>
    </xf>
    <xf numFmtId="0" fontId="29" fillId="0" borderId="0" xfId="25" applyFont="1" applyAlignment="1">
      <alignment horizontal="center" vertical="center" wrapText="1"/>
    </xf>
    <xf numFmtId="0" fontId="41" fillId="0" borderId="67" xfId="0" applyFont="1" applyFill="1" applyBorder="1" applyAlignment="1" applyProtection="1">
      <alignment horizontal="center" vertical="center" wrapText="1"/>
    </xf>
    <xf numFmtId="3" fontId="17" fillId="0" borderId="68" xfId="0" applyNumberFormat="1" applyFont="1" applyFill="1" applyBorder="1" applyAlignment="1" applyProtection="1">
      <alignment horizontal="right" vertical="center" wrapText="1"/>
    </xf>
    <xf numFmtId="3" fontId="59" fillId="0" borderId="68" xfId="0" applyNumberFormat="1" applyFont="1" applyFill="1" applyBorder="1" applyAlignment="1" applyProtection="1">
      <alignment vertical="center"/>
      <protection locked="0"/>
    </xf>
    <xf numFmtId="3" fontId="59" fillId="0" borderId="68" xfId="0" applyNumberFormat="1" applyFont="1" applyFill="1" applyBorder="1" applyAlignment="1" applyProtection="1">
      <alignment horizontal="right" vertical="center" wrapText="1"/>
      <protection locked="0"/>
    </xf>
    <xf numFmtId="3" fontId="59" fillId="0" borderId="69" xfId="0" applyNumberFormat="1" applyFont="1" applyFill="1" applyBorder="1" applyAlignment="1" applyProtection="1">
      <alignment horizontal="right" vertical="center" wrapText="1"/>
      <protection locked="0"/>
    </xf>
    <xf numFmtId="0" fontId="41" fillId="0" borderId="70" xfId="0" applyFont="1" applyFill="1" applyBorder="1" applyAlignment="1" applyProtection="1">
      <alignment horizontal="center" vertical="center" wrapText="1"/>
    </xf>
    <xf numFmtId="0" fontId="0" fillId="0" borderId="71" xfId="0" applyFill="1" applyBorder="1" applyAlignment="1" applyProtection="1">
      <alignment horizontal="center" vertical="center" wrapText="1"/>
    </xf>
    <xf numFmtId="0" fontId="31" fillId="0" borderId="72" xfId="25" applyFont="1" applyBorder="1" applyAlignment="1">
      <alignment horizontal="center" vertical="center" wrapText="1"/>
    </xf>
    <xf numFmtId="0" fontId="31" fillId="0" borderId="73" xfId="25" applyFont="1" applyBorder="1" applyAlignment="1">
      <alignment horizontal="center" vertical="center" wrapText="1"/>
    </xf>
    <xf numFmtId="3" fontId="59" fillId="0" borderId="39" xfId="25" applyNumberFormat="1" applyFont="1" applyBorder="1" applyAlignment="1" applyProtection="1">
      <alignment horizontal="right" vertical="center"/>
      <protection locked="0"/>
    </xf>
    <xf numFmtId="3" fontId="59" fillId="0" borderId="74" xfId="25" applyNumberFormat="1" applyFont="1" applyFill="1" applyBorder="1" applyAlignment="1" applyProtection="1">
      <alignment horizontal="right" vertical="center"/>
      <protection locked="0"/>
    </xf>
    <xf numFmtId="3" fontId="59" fillId="0" borderId="29" xfId="25" applyNumberFormat="1" applyFont="1" applyBorder="1" applyAlignment="1" applyProtection="1">
      <alignment horizontal="right" vertical="center"/>
      <protection locked="0"/>
    </xf>
    <xf numFmtId="3" fontId="59" fillId="0" borderId="75" xfId="25" applyNumberFormat="1" applyFont="1" applyFill="1" applyBorder="1" applyAlignment="1" applyProtection="1">
      <alignment horizontal="right" vertical="center"/>
      <protection locked="0"/>
    </xf>
    <xf numFmtId="3" fontId="59" fillId="0" borderId="75" xfId="25" applyNumberFormat="1" applyFont="1" applyBorder="1" applyAlignment="1" applyProtection="1">
      <alignment horizontal="right" vertical="center"/>
      <protection locked="0"/>
    </xf>
    <xf numFmtId="3" fontId="59" fillId="0" borderId="76" xfId="25" applyNumberFormat="1" applyFont="1" applyBorder="1" applyAlignment="1" applyProtection="1">
      <alignment horizontal="right" vertical="center"/>
      <protection locked="0"/>
    </xf>
    <xf numFmtId="3" fontId="59" fillId="0" borderId="77" xfId="25" applyNumberFormat="1" applyFont="1" applyBorder="1" applyAlignment="1" applyProtection="1">
      <alignment horizontal="right" vertical="center"/>
      <protection locked="0"/>
    </xf>
    <xf numFmtId="0" fontId="11" fillId="0" borderId="78" xfId="25" applyBorder="1" applyAlignment="1">
      <alignment horizontal="center" vertical="center"/>
    </xf>
    <xf numFmtId="3" fontId="59" fillId="0" borderId="39" xfId="25" applyNumberFormat="1" applyFont="1" applyBorder="1" applyAlignment="1" applyProtection="1">
      <alignment horizontal="right" vertical="center"/>
    </xf>
    <xf numFmtId="3" fontId="59" fillId="0" borderId="29" xfId="25" applyNumberFormat="1" applyFont="1" applyBorder="1" applyAlignment="1" applyProtection="1">
      <alignment horizontal="right" vertical="center"/>
    </xf>
    <xf numFmtId="0" fontId="31" fillId="0" borderId="79" xfId="25" applyFont="1" applyBorder="1" applyAlignment="1">
      <alignment horizontal="center" vertical="center" wrapText="1"/>
    </xf>
    <xf numFmtId="0" fontId="31" fillId="0" borderId="80" xfId="25" applyFont="1" applyBorder="1" applyAlignment="1">
      <alignment horizontal="center" vertical="center" wrapText="1"/>
    </xf>
    <xf numFmtId="3" fontId="59" fillId="0" borderId="81" xfId="25" applyNumberFormat="1" applyFont="1" applyBorder="1" applyAlignment="1" applyProtection="1">
      <alignment horizontal="right" vertical="center"/>
      <protection locked="0"/>
    </xf>
    <xf numFmtId="0" fontId="11" fillId="0" borderId="77" xfId="25" applyFont="1" applyBorder="1" applyAlignment="1">
      <alignment horizontal="left" vertical="center" wrapText="1"/>
    </xf>
    <xf numFmtId="3" fontId="59" fillId="0" borderId="32" xfId="25" applyNumberFormat="1" applyFont="1" applyBorder="1" applyAlignment="1" applyProtection="1">
      <alignment horizontal="right" vertical="center"/>
      <protection locked="0"/>
    </xf>
    <xf numFmtId="3" fontId="59" fillId="0" borderId="82" xfId="25" applyNumberFormat="1" applyFont="1" applyBorder="1" applyAlignment="1" applyProtection="1">
      <alignment horizontal="right" vertical="center"/>
      <protection locked="0"/>
    </xf>
    <xf numFmtId="0" fontId="11" fillId="0" borderId="0" xfId="25" applyAlignment="1">
      <alignment horizontal="center" vertical="center"/>
    </xf>
    <xf numFmtId="3" fontId="59" fillId="0" borderId="83" xfId="0" applyNumberFormat="1" applyFont="1" applyFill="1" applyBorder="1" applyAlignment="1" applyProtection="1">
      <alignment vertical="center"/>
      <protection locked="0"/>
    </xf>
    <xf numFmtId="0" fontId="59" fillId="0" borderId="0" xfId="0" applyFont="1"/>
    <xf numFmtId="0" fontId="32" fillId="0" borderId="0" xfId="0" applyFont="1"/>
    <xf numFmtId="3" fontId="0" fillId="0" borderId="0" xfId="0" applyNumberFormat="1" applyAlignment="1" applyProtection="1"/>
    <xf numFmtId="4" fontId="27" fillId="0" borderId="0" xfId="37" applyNumberFormat="1" applyFont="1" applyFill="1" applyBorder="1" applyProtection="1"/>
    <xf numFmtId="0" fontId="27" fillId="0" borderId="0" xfId="22" applyFont="1"/>
    <xf numFmtId="0" fontId="27" fillId="0" borderId="0" xfId="0" applyFont="1" applyFill="1" applyProtection="1">
      <protection locked="0"/>
    </xf>
    <xf numFmtId="1" fontId="56" fillId="0" borderId="91" xfId="0" applyNumberFormat="1" applyFont="1" applyFill="1" applyBorder="1" applyAlignment="1" applyProtection="1">
      <alignment horizontal="center" vertical="center"/>
    </xf>
    <xf numFmtId="3" fontId="16" fillId="0" borderId="91" xfId="0" applyNumberFormat="1" applyFont="1" applyFill="1" applyBorder="1" applyAlignment="1" applyProtection="1">
      <alignment vertical="center"/>
    </xf>
    <xf numFmtId="1" fontId="56" fillId="0" borderId="91" xfId="24" applyNumberFormat="1" applyFont="1" applyFill="1" applyBorder="1" applyAlignment="1" applyProtection="1">
      <alignment horizontal="center" vertical="center"/>
    </xf>
    <xf numFmtId="3" fontId="26" fillId="0" borderId="91" xfId="0" applyNumberFormat="1" applyFont="1" applyBorder="1" applyAlignment="1" applyProtection="1">
      <alignment vertical="center"/>
    </xf>
    <xf numFmtId="3" fontId="26" fillId="0" borderId="91" xfId="0" applyNumberFormat="1" applyFont="1" applyFill="1" applyBorder="1" applyAlignment="1" applyProtection="1">
      <alignment vertical="center"/>
    </xf>
    <xf numFmtId="1" fontId="74" fillId="0" borderId="91" xfId="24" applyNumberFormat="1" applyFont="1" applyFill="1" applyBorder="1" applyAlignment="1" applyProtection="1">
      <alignment horizontal="center" vertical="center"/>
    </xf>
    <xf numFmtId="3" fontId="27" fillId="0" borderId="91" xfId="0" applyNumberFormat="1" applyFont="1" applyBorder="1" applyAlignment="1" applyProtection="1">
      <alignment vertical="center"/>
      <protection locked="0"/>
    </xf>
    <xf numFmtId="3" fontId="26" fillId="0" borderId="91" xfId="0" applyNumberFormat="1" applyFont="1" applyFill="1" applyBorder="1" applyAlignment="1" applyProtection="1">
      <alignment vertical="center"/>
      <protection locked="0"/>
    </xf>
    <xf numFmtId="3" fontId="27" fillId="0" borderId="91" xfId="0" applyNumberFormat="1" applyFont="1" applyBorder="1" applyAlignment="1" applyProtection="1">
      <alignment vertical="center"/>
    </xf>
    <xf numFmtId="1" fontId="56" fillId="0" borderId="92" xfId="0" applyNumberFormat="1" applyFont="1" applyFill="1" applyBorder="1" applyAlignment="1" applyProtection="1">
      <alignment vertical="center" wrapText="1"/>
    </xf>
    <xf numFmtId="3" fontId="16" fillId="0" borderId="93" xfId="0" applyNumberFormat="1" applyFont="1" applyFill="1" applyBorder="1" applyAlignment="1" applyProtection="1">
      <alignment vertical="center"/>
    </xf>
    <xf numFmtId="1" fontId="56" fillId="0" borderId="92" xfId="24" applyNumberFormat="1" applyFont="1" applyFill="1" applyBorder="1" applyAlignment="1" applyProtection="1">
      <alignment vertical="center" wrapText="1"/>
    </xf>
    <xf numFmtId="3" fontId="26" fillId="0" borderId="93" xfId="0" applyNumberFormat="1" applyFont="1" applyBorder="1" applyAlignment="1" applyProtection="1">
      <alignment vertical="center"/>
    </xf>
    <xf numFmtId="1" fontId="74" fillId="0" borderId="92" xfId="24" applyNumberFormat="1" applyFont="1" applyFill="1" applyBorder="1" applyAlignment="1" applyProtection="1">
      <alignment vertical="center" wrapText="1"/>
    </xf>
    <xf numFmtId="3" fontId="27" fillId="0" borderId="93" xfId="0" applyNumberFormat="1" applyFont="1" applyBorder="1" applyAlignment="1" applyProtection="1">
      <alignment vertical="center"/>
    </xf>
    <xf numFmtId="3" fontId="41" fillId="0" borderId="0" xfId="0" applyNumberFormat="1" applyFont="1" applyFill="1" applyBorder="1" applyProtection="1"/>
    <xf numFmtId="3" fontId="11" fillId="0" borderId="0" xfId="0" applyNumberFormat="1" applyFont="1" applyFill="1" applyBorder="1" applyAlignment="1" applyProtection="1"/>
    <xf numFmtId="0" fontId="11" fillId="0" borderId="0" xfId="0" applyFont="1" applyBorder="1" applyAlignment="1" applyProtection="1">
      <alignment vertical="center"/>
    </xf>
    <xf numFmtId="0" fontId="17" fillId="0" borderId="0" xfId="0" applyFont="1" applyBorder="1" applyAlignment="1" applyProtection="1"/>
    <xf numFmtId="0" fontId="29" fillId="0" borderId="0" xfId="43" applyFont="1" applyFill="1" applyBorder="1" applyAlignment="1">
      <alignment horizontal="center"/>
    </xf>
    <xf numFmtId="0" fontId="31" fillId="0" borderId="0" xfId="25" applyFont="1" applyAlignment="1"/>
    <xf numFmtId="0" fontId="0" fillId="0" borderId="0" xfId="0" applyAlignment="1">
      <alignment vertical="center" wrapText="1"/>
    </xf>
    <xf numFmtId="0" fontId="0" fillId="0" borderId="0" xfId="0" applyFill="1" applyAlignment="1">
      <alignment vertical="center"/>
    </xf>
    <xf numFmtId="0" fontId="0" fillId="0" borderId="91" xfId="0" applyFill="1" applyBorder="1" applyAlignment="1">
      <alignment horizontal="center" vertical="center"/>
    </xf>
    <xf numFmtId="0" fontId="11" fillId="0" borderId="91" xfId="0" applyFont="1" applyFill="1" applyBorder="1" applyAlignment="1">
      <alignment horizontal="center" vertical="center"/>
    </xf>
    <xf numFmtId="0" fontId="139" fillId="0" borderId="91" xfId="0" applyFont="1" applyFill="1" applyBorder="1" applyAlignment="1">
      <alignment horizontal="center" vertical="center"/>
    </xf>
    <xf numFmtId="49" fontId="0" fillId="0" borderId="99" xfId="0" applyNumberFormat="1" applyBorder="1" applyAlignment="1">
      <alignment vertical="center" wrapText="1"/>
    </xf>
    <xf numFmtId="0" fontId="0" fillId="0" borderId="100" xfId="0" applyFill="1" applyBorder="1" applyAlignment="1">
      <alignment horizontal="center" vertical="center"/>
    </xf>
    <xf numFmtId="0" fontId="0" fillId="0" borderId="101" xfId="0" applyBorder="1" applyAlignment="1">
      <alignment vertical="center" wrapText="1"/>
    </xf>
    <xf numFmtId="49" fontId="0" fillId="0" borderId="101" xfId="0" applyNumberFormat="1" applyBorder="1" applyAlignment="1">
      <alignment vertical="center" wrapText="1"/>
    </xf>
    <xf numFmtId="3" fontId="0" fillId="0" borderId="100" xfId="0" applyNumberFormat="1" applyFill="1" applyBorder="1" applyAlignment="1" applyProtection="1">
      <alignment vertical="center"/>
      <protection locked="0"/>
    </xf>
    <xf numFmtId="3" fontId="0" fillId="0" borderId="102" xfId="0" applyNumberFormat="1" applyFill="1" applyBorder="1" applyAlignment="1" applyProtection="1">
      <alignment vertical="center"/>
      <protection locked="0"/>
    </xf>
    <xf numFmtId="3" fontId="0" fillId="0" borderId="91" xfId="0" applyNumberFormat="1" applyFill="1" applyBorder="1" applyAlignment="1" applyProtection="1">
      <alignment vertical="center"/>
      <protection locked="0"/>
    </xf>
    <xf numFmtId="3" fontId="0" fillId="0" borderId="103" xfId="0" applyNumberFormat="1" applyFill="1" applyBorder="1" applyAlignment="1" applyProtection="1">
      <alignment vertical="center"/>
      <protection locked="0"/>
    </xf>
    <xf numFmtId="3" fontId="139" fillId="0" borderId="103" xfId="0" applyNumberFormat="1" applyFont="1" applyFill="1" applyBorder="1" applyAlignment="1" applyProtection="1">
      <alignment vertical="center"/>
      <protection locked="0"/>
    </xf>
    <xf numFmtId="3" fontId="0" fillId="0" borderId="101" xfId="0" applyNumberFormat="1" applyBorder="1" applyAlignment="1">
      <alignment vertical="center" wrapText="1"/>
    </xf>
    <xf numFmtId="3" fontId="59" fillId="0" borderId="108" xfId="25" applyNumberFormat="1" applyFont="1" applyBorder="1" applyAlignment="1" applyProtection="1">
      <alignment horizontal="right" vertical="center"/>
      <protection locked="0"/>
    </xf>
    <xf numFmtId="3" fontId="59" fillId="0" borderId="91" xfId="25" applyNumberFormat="1" applyFont="1" applyBorder="1" applyAlignment="1" applyProtection="1">
      <alignment horizontal="right" vertical="center"/>
      <protection locked="0"/>
    </xf>
    <xf numFmtId="3" fontId="59" fillId="0" borderId="104" xfId="25" applyNumberFormat="1" applyFont="1" applyBorder="1" applyAlignment="1" applyProtection="1">
      <alignment horizontal="right" vertical="center"/>
      <protection locked="0"/>
    </xf>
    <xf numFmtId="3" fontId="59" fillId="0" borderId="72" xfId="25" applyNumberFormat="1" applyFont="1" applyBorder="1" applyAlignment="1" applyProtection="1">
      <alignment horizontal="right" vertical="center"/>
      <protection locked="0"/>
    </xf>
    <xf numFmtId="3" fontId="17" fillId="0" borderId="109" xfId="25" applyNumberFormat="1" applyFont="1" applyBorder="1" applyAlignment="1" applyProtection="1">
      <alignment horizontal="right" vertical="center"/>
    </xf>
    <xf numFmtId="3" fontId="17" fillId="0" borderId="110" xfId="25" applyNumberFormat="1" applyFont="1" applyBorder="1" applyAlignment="1" applyProtection="1">
      <alignment horizontal="right" vertical="center"/>
    </xf>
    <xf numFmtId="3" fontId="29" fillId="0" borderId="0" xfId="25" applyNumberFormat="1" applyFont="1" applyProtection="1"/>
    <xf numFmtId="0" fontId="11" fillId="0" borderId="0" xfId="25" applyAlignment="1" applyProtection="1">
      <alignment horizontal="center" vertical="center" wrapText="1"/>
    </xf>
    <xf numFmtId="0" fontId="11" fillId="0" borderId="0" xfId="25" applyAlignment="1" applyProtection="1">
      <alignment horizontal="center"/>
    </xf>
    <xf numFmtId="0" fontId="31" fillId="0" borderId="0" xfId="25" applyFont="1" applyAlignment="1" applyProtection="1">
      <alignment horizontal="right"/>
    </xf>
    <xf numFmtId="0" fontId="31" fillId="0" borderId="0" xfId="25" applyFont="1" applyAlignment="1" applyProtection="1">
      <alignment horizontal="center"/>
    </xf>
    <xf numFmtId="0" fontId="31" fillId="0" borderId="32" xfId="25" applyFont="1" applyBorder="1" applyAlignment="1" applyProtection="1">
      <alignment horizontal="center" vertical="center" wrapText="1"/>
    </xf>
    <xf numFmtId="0" fontId="31" fillId="0" borderId="82" xfId="25" applyFont="1" applyBorder="1" applyAlignment="1" applyProtection="1">
      <alignment horizontal="center" vertical="center" wrapText="1"/>
    </xf>
    <xf numFmtId="0" fontId="24" fillId="0" borderId="111" xfId="25" applyFont="1" applyBorder="1" applyAlignment="1" applyProtection="1">
      <alignment horizontal="center" vertical="center" wrapText="1"/>
    </xf>
    <xf numFmtId="0" fontId="48" fillId="0" borderId="109" xfId="25" applyFont="1" applyBorder="1" applyAlignment="1" applyProtection="1">
      <alignment horizontal="center" vertical="center" wrapText="1"/>
    </xf>
    <xf numFmtId="0" fontId="48" fillId="12" borderId="109" xfId="25" applyFont="1" applyFill="1" applyBorder="1" applyAlignment="1" applyProtection="1">
      <alignment horizontal="center" vertical="center" wrapText="1"/>
    </xf>
    <xf numFmtId="0" fontId="48" fillId="0" borderId="110" xfId="25" applyFont="1" applyBorder="1" applyAlignment="1" applyProtection="1">
      <alignment horizontal="center" vertical="center" wrapText="1"/>
    </xf>
    <xf numFmtId="0" fontId="11" fillId="0" borderId="79" xfId="25" applyBorder="1" applyAlignment="1" applyProtection="1">
      <alignment horizontal="center" vertical="center"/>
    </xf>
    <xf numFmtId="0" fontId="11" fillId="0" borderId="72" xfId="25" applyFont="1" applyBorder="1" applyAlignment="1" applyProtection="1">
      <alignment horizontal="left" vertical="center" wrapText="1"/>
    </xf>
    <xf numFmtId="3" fontId="59" fillId="0" borderId="72" xfId="25" applyNumberFormat="1" applyFont="1" applyBorder="1" applyAlignment="1" applyProtection="1">
      <alignment horizontal="right" vertical="center"/>
    </xf>
    <xf numFmtId="0" fontId="11" fillId="0" borderId="112" xfId="25" applyBorder="1" applyAlignment="1" applyProtection="1">
      <alignment horizontal="center" vertical="center"/>
    </xf>
    <xf numFmtId="0" fontId="11" fillId="0" borderId="29" xfId="25" applyFont="1" applyBorder="1" applyAlignment="1" applyProtection="1">
      <alignment horizontal="left" vertical="center" wrapText="1"/>
    </xf>
    <xf numFmtId="4" fontId="11" fillId="0" borderId="0" xfId="25" applyNumberFormat="1" applyProtection="1"/>
    <xf numFmtId="0" fontId="11" fillId="0" borderId="113" xfId="25" applyBorder="1" applyAlignment="1" applyProtection="1">
      <alignment horizontal="center" vertical="center"/>
    </xf>
    <xf numFmtId="0" fontId="11" fillId="0" borderId="108" xfId="25" applyFont="1" applyBorder="1" applyAlignment="1" applyProtection="1">
      <alignment horizontal="left" vertical="center" wrapText="1"/>
    </xf>
    <xf numFmtId="3" fontId="59" fillId="0" borderId="108" xfId="25" applyNumberFormat="1" applyFont="1" applyBorder="1" applyAlignment="1" applyProtection="1">
      <alignment horizontal="right" vertical="center"/>
    </xf>
    <xf numFmtId="0" fontId="11" fillId="0" borderId="101" xfId="25" applyBorder="1" applyAlignment="1" applyProtection="1">
      <alignment horizontal="center" vertical="center"/>
    </xf>
    <xf numFmtId="0" fontId="11" fillId="0" borderId="91" xfId="25" applyFont="1" applyBorder="1" applyAlignment="1" applyProtection="1">
      <alignment horizontal="left" vertical="center" wrapText="1"/>
    </xf>
    <xf numFmtId="0" fontId="11" fillId="0" borderId="114" xfId="25" applyBorder="1" applyAlignment="1" applyProtection="1">
      <alignment horizontal="center" vertical="center"/>
    </xf>
    <xf numFmtId="3" fontId="74" fillId="0" borderId="97" xfId="25" applyNumberFormat="1" applyFont="1" applyBorder="1" applyAlignment="1" applyProtection="1">
      <alignment wrapText="1"/>
    </xf>
    <xf numFmtId="0" fontId="31" fillId="0" borderId="0" xfId="25" applyFont="1" applyAlignment="1" applyProtection="1">
      <alignment horizontal="left" vertical="center" wrapText="1"/>
    </xf>
    <xf numFmtId="0" fontId="11" fillId="0" borderId="0" xfId="25" applyFill="1" applyBorder="1" applyAlignment="1" applyProtection="1">
      <alignment horizontal="left" vertical="center" wrapText="1"/>
    </xf>
    <xf numFmtId="0" fontId="11" fillId="0" borderId="0" xfId="25" applyFill="1" applyBorder="1" applyAlignment="1" applyProtection="1">
      <alignment horizontal="left" wrapText="1"/>
    </xf>
    <xf numFmtId="0" fontId="11" fillId="0" borderId="0" xfId="25" applyAlignment="1" applyProtection="1">
      <alignment horizontal="left" vertical="center" wrapText="1"/>
    </xf>
    <xf numFmtId="0" fontId="31" fillId="0" borderId="0" xfId="25" applyFont="1" applyProtection="1"/>
    <xf numFmtId="0" fontId="31" fillId="0" borderId="76" xfId="25" applyFont="1" applyBorder="1" applyAlignment="1" applyProtection="1">
      <alignment horizontal="center" vertical="center" wrapText="1"/>
    </xf>
    <xf numFmtId="0" fontId="31" fillId="0" borderId="77" xfId="25" applyFont="1" applyBorder="1" applyAlignment="1" applyProtection="1">
      <alignment horizontal="center" vertical="center" wrapText="1"/>
    </xf>
    <xf numFmtId="0" fontId="11" fillId="0" borderId="115" xfId="25" applyBorder="1" applyAlignment="1" applyProtection="1">
      <alignment horizontal="center" vertical="center"/>
    </xf>
    <xf numFmtId="0" fontId="11" fillId="0" borderId="39" xfId="25" applyFont="1" applyBorder="1" applyAlignment="1" applyProtection="1">
      <alignment horizontal="left" vertical="center" wrapText="1"/>
    </xf>
    <xf numFmtId="0" fontId="11" fillId="0" borderId="116" xfId="25" applyBorder="1" applyAlignment="1" applyProtection="1">
      <alignment horizontal="center" vertical="center"/>
    </xf>
    <xf numFmtId="0" fontId="11" fillId="0" borderId="32" xfId="25" applyFont="1" applyBorder="1" applyAlignment="1" applyProtection="1">
      <alignment horizontal="left" vertical="center" wrapText="1"/>
    </xf>
    <xf numFmtId="3" fontId="17" fillId="0" borderId="76" xfId="25" applyNumberFormat="1" applyFont="1" applyBorder="1" applyAlignment="1" applyProtection="1">
      <alignment horizontal="right" vertical="center"/>
    </xf>
    <xf numFmtId="3" fontId="17" fillId="0" borderId="77" xfId="25" applyNumberFormat="1" applyFont="1" applyBorder="1" applyAlignment="1" applyProtection="1">
      <alignment horizontal="right" vertical="center"/>
    </xf>
    <xf numFmtId="3" fontId="29" fillId="0" borderId="117" xfId="0" applyNumberFormat="1" applyFont="1" applyFill="1" applyBorder="1" applyAlignment="1" applyProtection="1">
      <alignment vertical="center"/>
    </xf>
    <xf numFmtId="3" fontId="141" fillId="0" borderId="95" xfId="0" applyNumberFormat="1" applyFont="1" applyFill="1" applyBorder="1" applyAlignment="1" applyProtection="1">
      <alignment horizontal="right" vertical="center"/>
      <protection locked="0"/>
    </xf>
    <xf numFmtId="2" fontId="16" fillId="0" borderId="0" xfId="25" applyNumberFormat="1" applyFont="1" applyFill="1" applyAlignment="1" applyProtection="1">
      <alignment horizontal="left" vertical="center"/>
      <protection locked="0"/>
    </xf>
    <xf numFmtId="3" fontId="31" fillId="0" borderId="29" xfId="0" applyNumberFormat="1" applyFont="1" applyFill="1" applyBorder="1" applyAlignment="1" applyProtection="1">
      <alignment horizontal="right" vertical="center" wrapText="1"/>
    </xf>
    <xf numFmtId="3" fontId="11" fillId="0" borderId="29" xfId="0" applyNumberFormat="1" applyFont="1" applyFill="1" applyBorder="1" applyAlignment="1" applyProtection="1">
      <alignment horizontal="right" vertical="center" wrapText="1"/>
    </xf>
    <xf numFmtId="3" fontId="11" fillId="0" borderId="29" xfId="0" applyNumberFormat="1" applyFont="1" applyFill="1" applyBorder="1" applyAlignment="1" applyProtection="1">
      <alignment horizontal="right" vertical="center" wrapText="1"/>
      <protection locked="0"/>
    </xf>
    <xf numFmtId="2" fontId="17" fillId="0" borderId="0" xfId="0" applyNumberFormat="1" applyFont="1" applyFill="1" applyBorder="1" applyAlignment="1" applyProtection="1">
      <alignment horizontal="left"/>
      <protection locked="0"/>
    </xf>
    <xf numFmtId="3" fontId="17" fillId="0" borderId="0" xfId="0" applyNumberFormat="1" applyFont="1" applyFill="1" applyAlignment="1" applyProtection="1"/>
    <xf numFmtId="3" fontId="59" fillId="0" borderId="0" xfId="0" applyNumberFormat="1" applyFont="1" applyFill="1" applyProtection="1"/>
    <xf numFmtId="3" fontId="135" fillId="0" borderId="0" xfId="0" applyNumberFormat="1" applyFont="1" applyFill="1" applyProtection="1"/>
    <xf numFmtId="3" fontId="135" fillId="0" borderId="0" xfId="0" applyNumberFormat="1" applyFont="1" applyFill="1" applyBorder="1" applyAlignment="1" applyProtection="1">
      <alignment vertical="center"/>
    </xf>
    <xf numFmtId="0" fontId="63" fillId="0" borderId="0" xfId="0" applyFont="1" applyAlignment="1" applyProtection="1">
      <alignment horizontal="center"/>
      <protection locked="0"/>
    </xf>
    <xf numFmtId="0" fontId="41" fillId="0" borderId="0" xfId="0" applyFont="1" applyProtection="1">
      <protection locked="0"/>
    </xf>
    <xf numFmtId="0" fontId="41" fillId="0" borderId="0" xfId="0" applyFont="1" applyAlignment="1" applyProtection="1">
      <alignment horizontal="center"/>
      <protection locked="0"/>
    </xf>
    <xf numFmtId="0" fontId="63" fillId="0" borderId="0" xfId="0" applyFont="1" applyAlignment="1" applyProtection="1">
      <alignment horizontal="center"/>
    </xf>
    <xf numFmtId="0" fontId="63" fillId="0" borderId="0" xfId="0" applyFont="1" applyFill="1" applyAlignment="1" applyProtection="1">
      <alignment horizontal="center"/>
    </xf>
    <xf numFmtId="0" fontId="63" fillId="0" borderId="0" xfId="22" applyFont="1" applyAlignment="1" applyProtection="1">
      <alignment horizontal="center"/>
    </xf>
    <xf numFmtId="0" fontId="63" fillId="0" borderId="0" xfId="0" applyFont="1" applyFill="1" applyAlignment="1" applyProtection="1">
      <alignment horizontal="center"/>
      <protection locked="0"/>
    </xf>
    <xf numFmtId="0" fontId="123" fillId="0" borderId="0" xfId="0" applyFont="1" applyAlignment="1" applyProtection="1">
      <alignment horizontal="center"/>
      <protection locked="0"/>
    </xf>
    <xf numFmtId="3" fontId="27" fillId="0" borderId="91" xfId="0" applyNumberFormat="1" applyFont="1" applyFill="1" applyBorder="1" applyAlignment="1" applyProtection="1">
      <alignment horizontal="right" vertical="center"/>
    </xf>
    <xf numFmtId="0" fontId="142" fillId="0" borderId="0" xfId="0" applyFont="1" applyFill="1" applyProtection="1"/>
    <xf numFmtId="0" fontId="16" fillId="0" borderId="0" xfId="0" applyFont="1" applyProtection="1"/>
    <xf numFmtId="0" fontId="16" fillId="0" borderId="0" xfId="36" applyFont="1" applyFill="1" applyAlignment="1" applyProtection="1"/>
    <xf numFmtId="2" fontId="29" fillId="0" borderId="0" xfId="35" applyNumberFormat="1" applyFont="1" applyFill="1" applyBorder="1" applyAlignment="1" applyProtection="1"/>
    <xf numFmtId="0" fontId="16" fillId="0" borderId="0" xfId="0" applyFont="1" applyFill="1" applyBorder="1" applyAlignment="1" applyProtection="1"/>
    <xf numFmtId="0" fontId="31" fillId="0" borderId="0" xfId="0" applyFont="1" applyBorder="1" applyAlignment="1" applyProtection="1"/>
    <xf numFmtId="0" fontId="41" fillId="0" borderId="0" xfId="0" applyFont="1" applyBorder="1" applyAlignment="1" applyProtection="1"/>
    <xf numFmtId="0" fontId="29" fillId="0" borderId="0" xfId="22" applyFont="1" applyBorder="1" applyAlignment="1" applyProtection="1"/>
    <xf numFmtId="0" fontId="29" fillId="0" borderId="0" xfId="22" applyFont="1" applyFill="1" applyBorder="1" applyAlignment="1" applyProtection="1"/>
    <xf numFmtId="0" fontId="26" fillId="0" borderId="0" xfId="22" applyFont="1" applyFill="1" applyBorder="1" applyAlignment="1" applyProtection="1"/>
    <xf numFmtId="0" fontId="26" fillId="0" borderId="0" xfId="22" applyFont="1" applyBorder="1" applyAlignment="1" applyProtection="1">
      <alignment vertical="center"/>
    </xf>
    <xf numFmtId="0" fontId="29" fillId="0" borderId="0" xfId="0" applyFont="1" applyBorder="1" applyAlignment="1" applyProtection="1"/>
    <xf numFmtId="0" fontId="26" fillId="0" borderId="0" xfId="0" applyFont="1" applyBorder="1" applyAlignment="1" applyProtection="1"/>
    <xf numFmtId="0" fontId="29" fillId="0" borderId="0" xfId="22" applyFont="1" applyBorder="1" applyAlignment="1" applyProtection="1">
      <alignment vertical="center" wrapText="1"/>
    </xf>
    <xf numFmtId="0" fontId="16" fillId="0" borderId="0" xfId="22" applyFont="1" applyBorder="1" applyAlignment="1" applyProtection="1"/>
    <xf numFmtId="3" fontId="16" fillId="0" borderId="0" xfId="22" applyNumberFormat="1" applyFont="1" applyBorder="1" applyAlignment="1" applyProtection="1"/>
    <xf numFmtId="0" fontId="41" fillId="0" borderId="0" xfId="0" applyFont="1" applyAlignment="1" applyProtection="1">
      <protection locked="0"/>
    </xf>
    <xf numFmtId="0" fontId="123" fillId="0" borderId="0" xfId="0" applyFont="1" applyAlignment="1" applyProtection="1">
      <protection locked="0"/>
    </xf>
    <xf numFmtId="1" fontId="26" fillId="0" borderId="0" xfId="43" applyNumberFormat="1" applyFont="1" applyFill="1" applyBorder="1" applyAlignment="1">
      <alignment horizontal="center"/>
    </xf>
    <xf numFmtId="0" fontId="40" fillId="0" borderId="0" xfId="33" applyFont="1" applyFill="1" applyBorder="1"/>
    <xf numFmtId="0" fontId="27" fillId="0" borderId="0" xfId="25" applyFont="1" applyFill="1" applyBorder="1"/>
    <xf numFmtId="0" fontId="16" fillId="0" borderId="0" xfId="0" applyFont="1" applyBorder="1" applyAlignment="1" applyProtection="1"/>
    <xf numFmtId="0" fontId="98" fillId="0" borderId="0" xfId="39" applyFont="1" applyBorder="1" applyAlignment="1" applyProtection="1">
      <alignment horizontal="left" vertical="top" wrapText="1"/>
    </xf>
    <xf numFmtId="3" fontId="38" fillId="0" borderId="0" xfId="39" applyNumberFormat="1" applyFont="1" applyBorder="1" applyProtection="1"/>
    <xf numFmtId="0" fontId="19" fillId="0" borderId="0" xfId="39" applyFont="1" applyAlignment="1" applyProtection="1"/>
    <xf numFmtId="0" fontId="12" fillId="0" borderId="35" xfId="22" applyFont="1" applyFill="1" applyBorder="1" applyAlignment="1" applyProtection="1"/>
    <xf numFmtId="3" fontId="144" fillId="14" borderId="0" xfId="0" applyNumberFormat="1" applyFont="1" applyFill="1" applyBorder="1" applyAlignment="1" applyProtection="1">
      <alignment horizontal="center"/>
    </xf>
    <xf numFmtId="3" fontId="144" fillId="0" borderId="0" xfId="0" applyNumberFormat="1" applyFont="1" applyFill="1" applyBorder="1" applyAlignment="1" applyProtection="1">
      <alignment horizontal="center"/>
    </xf>
    <xf numFmtId="0" fontId="31" fillId="0" borderId="0" xfId="0" applyFont="1" applyBorder="1" applyAlignment="1" applyProtection="1">
      <protection locked="0"/>
    </xf>
    <xf numFmtId="0" fontId="41" fillId="0" borderId="0" xfId="0" applyFont="1" applyBorder="1" applyAlignment="1" applyProtection="1">
      <protection locked="0"/>
    </xf>
    <xf numFmtId="0" fontId="11" fillId="0" borderId="0" xfId="0" applyFont="1" applyProtection="1">
      <protection locked="0"/>
    </xf>
    <xf numFmtId="0" fontId="0" fillId="0" borderId="40" xfId="0" applyBorder="1" applyAlignment="1" applyProtection="1">
      <alignment horizontal="center"/>
      <protection locked="0"/>
    </xf>
    <xf numFmtId="49" fontId="0" fillId="0" borderId="39" xfId="0" applyNumberFormat="1" applyBorder="1" applyAlignment="1" applyProtection="1">
      <alignment vertical="center" wrapText="1"/>
      <protection locked="0"/>
    </xf>
    <xf numFmtId="49" fontId="0" fillId="0" borderId="76" xfId="0" applyNumberFormat="1" applyBorder="1" applyAlignment="1" applyProtection="1">
      <alignment vertical="center" wrapText="1"/>
      <protection locked="0"/>
    </xf>
    <xf numFmtId="3" fontId="41" fillId="0" borderId="29" xfId="49" applyNumberFormat="1" applyFont="1" applyFill="1" applyBorder="1" applyAlignment="1" applyProtection="1">
      <alignment horizontal="right" vertical="center" wrapText="1"/>
    </xf>
    <xf numFmtId="3" fontId="41" fillId="0" borderId="29" xfId="49" applyNumberFormat="1" applyFont="1" applyFill="1" applyBorder="1" applyAlignment="1" applyProtection="1">
      <alignment horizontal="right"/>
    </xf>
    <xf numFmtId="0" fontId="41" fillId="0" borderId="0" xfId="49" applyFont="1" applyFill="1" applyProtection="1">
      <protection locked="0"/>
    </xf>
    <xf numFmtId="3" fontId="41" fillId="0" borderId="29" xfId="49" applyNumberFormat="1" applyFont="1" applyFill="1" applyBorder="1" applyAlignment="1" applyProtection="1">
      <alignment horizontal="right" vertical="center" wrapText="1"/>
      <protection locked="0"/>
    </xf>
    <xf numFmtId="3" fontId="41" fillId="0" borderId="29" xfId="42" applyNumberFormat="1" applyFont="1" applyFill="1" applyBorder="1" applyAlignment="1" applyProtection="1">
      <alignment horizontal="right" vertical="center" wrapText="1"/>
    </xf>
    <xf numFmtId="3" fontId="11" fillId="0" borderId="29" xfId="49" applyNumberFormat="1" applyFont="1" applyFill="1" applyBorder="1" applyAlignment="1" applyProtection="1">
      <alignment horizontal="right" vertical="center" wrapText="1"/>
      <protection locked="0"/>
    </xf>
    <xf numFmtId="3" fontId="11" fillId="0" borderId="29" xfId="42" applyNumberFormat="1" applyFont="1" applyFill="1" applyBorder="1" applyAlignment="1" applyProtection="1">
      <alignment horizontal="right" vertical="center" wrapText="1"/>
    </xf>
    <xf numFmtId="3" fontId="41" fillId="0" borderId="29" xfId="0" applyNumberFormat="1" applyFont="1" applyFill="1" applyBorder="1" applyAlignment="1" applyProtection="1">
      <alignment horizontal="right" vertical="center" wrapText="1"/>
      <protection locked="0"/>
    </xf>
    <xf numFmtId="3" fontId="41" fillId="0" borderId="29" xfId="0" applyNumberFormat="1" applyFont="1" applyFill="1" applyBorder="1" applyAlignment="1" applyProtection="1">
      <alignment horizontal="right" vertical="center" wrapText="1"/>
    </xf>
    <xf numFmtId="4" fontId="126" fillId="0" borderId="29" xfId="42" applyNumberFormat="1" applyFont="1" applyFill="1" applyBorder="1" applyAlignment="1" applyProtection="1">
      <alignment wrapText="1"/>
      <protection locked="0"/>
    </xf>
    <xf numFmtId="3" fontId="11" fillId="0" borderId="29" xfId="51" applyNumberFormat="1" applyFont="1" applyFill="1" applyBorder="1" applyAlignment="1" applyProtection="1">
      <alignment horizontal="right" vertical="center" wrapText="1"/>
      <protection locked="0"/>
    </xf>
    <xf numFmtId="170" fontId="126" fillId="0" borderId="29" xfId="46" applyNumberFormat="1" applyFont="1" applyFill="1" applyBorder="1" applyProtection="1">
      <protection locked="0"/>
    </xf>
    <xf numFmtId="0" fontId="16" fillId="0" borderId="0" xfId="0" applyFont="1" applyFill="1" applyAlignment="1" applyProtection="1">
      <protection locked="0"/>
    </xf>
    <xf numFmtId="0" fontId="99" fillId="0" borderId="123" xfId="39" applyFont="1" applyBorder="1" applyAlignment="1" applyProtection="1">
      <alignment horizontal="center" vertical="center" wrapText="1"/>
    </xf>
    <xf numFmtId="0" fontId="99" fillId="0" borderId="124" xfId="39" applyFont="1" applyBorder="1" applyAlignment="1" applyProtection="1">
      <alignment horizontal="center" vertical="center" wrapText="1"/>
    </xf>
    <xf numFmtId="0" fontId="99" fillId="0" borderId="124" xfId="39" applyFont="1" applyBorder="1" applyAlignment="1" applyProtection="1">
      <alignment horizontal="center" vertical="top" wrapText="1"/>
    </xf>
    <xf numFmtId="0" fontId="31" fillId="0" borderId="125" xfId="22" applyFont="1" applyBorder="1" applyAlignment="1" applyProtection="1">
      <alignment horizontal="center" vertical="center" wrapText="1"/>
    </xf>
    <xf numFmtId="0" fontId="98" fillId="0" borderId="115" xfId="39" applyFont="1" applyBorder="1" applyAlignment="1" applyProtection="1">
      <alignment horizontal="center" vertical="top" wrapText="1"/>
    </xf>
    <xf numFmtId="0" fontId="38" fillId="0" borderId="74" xfId="39" applyFont="1" applyBorder="1" applyAlignment="1" applyProtection="1">
      <alignment vertical="top" wrapText="1"/>
    </xf>
    <xf numFmtId="0" fontId="98" fillId="0" borderId="112" xfId="39" applyFont="1" applyBorder="1" applyAlignment="1" applyProtection="1">
      <alignment horizontal="center" vertical="top" wrapText="1"/>
    </xf>
    <xf numFmtId="3" fontId="38" fillId="0" borderId="75" xfId="39" applyNumberFormat="1" applyFont="1" applyBorder="1" applyAlignment="1" applyProtection="1">
      <alignment vertical="top" wrapText="1"/>
    </xf>
    <xf numFmtId="0" fontId="98" fillId="0" borderId="112" xfId="39" applyFont="1" applyBorder="1" applyAlignment="1" applyProtection="1">
      <alignment wrapText="1"/>
    </xf>
    <xf numFmtId="0" fontId="12" fillId="0" borderId="75" xfId="39" applyFont="1" applyBorder="1" applyProtection="1"/>
    <xf numFmtId="3" fontId="12" fillId="0" borderId="75" xfId="39" applyNumberFormat="1" applyFont="1" applyBorder="1" applyProtection="1"/>
    <xf numFmtId="0" fontId="12" fillId="0" borderId="78" xfId="39" applyFont="1" applyBorder="1" applyProtection="1"/>
    <xf numFmtId="0" fontId="98" fillId="0" borderId="76" xfId="39" applyFont="1" applyBorder="1" applyAlignment="1" applyProtection="1">
      <alignment horizontal="left" vertical="top" wrapText="1"/>
    </xf>
    <xf numFmtId="3" fontId="38" fillId="0" borderId="76" xfId="39" applyNumberFormat="1" applyFont="1" applyBorder="1" applyProtection="1"/>
    <xf numFmtId="3" fontId="38" fillId="0" borderId="77" xfId="39" applyNumberFormat="1" applyFont="1" applyBorder="1" applyProtection="1"/>
    <xf numFmtId="0" fontId="29" fillId="0" borderId="0" xfId="0" applyFont="1" applyFill="1" applyBorder="1" applyAlignment="1" applyProtection="1">
      <alignment horizontal="center"/>
      <protection locked="0"/>
    </xf>
    <xf numFmtId="3" fontId="12" fillId="0" borderId="0" xfId="22" applyNumberFormat="1" applyFont="1" applyFill="1" applyBorder="1" applyProtection="1"/>
    <xf numFmtId="0" fontId="65" fillId="0" borderId="0" xfId="0" applyFont="1" applyAlignment="1" applyProtection="1">
      <alignment horizontal="center"/>
    </xf>
    <xf numFmtId="0" fontId="65" fillId="0" borderId="0" xfId="0" applyFont="1" applyAlignment="1" applyProtection="1">
      <alignment horizontal="center"/>
      <protection locked="0"/>
    </xf>
    <xf numFmtId="0" fontId="65" fillId="0" borderId="0" xfId="25" applyFont="1" applyFill="1" applyBorder="1" applyAlignment="1">
      <alignment horizontal="center" vertical="center" wrapText="1"/>
    </xf>
    <xf numFmtId="0" fontId="143" fillId="0" borderId="0" xfId="53" applyFont="1" applyFill="1" applyAlignment="1" applyProtection="1">
      <alignment horizontal="center"/>
    </xf>
    <xf numFmtId="0" fontId="41" fillId="0" borderId="0" xfId="0" applyFont="1" applyFill="1" applyAlignment="1" applyProtection="1">
      <alignment horizontal="center"/>
      <protection locked="0"/>
    </xf>
    <xf numFmtId="3" fontId="31" fillId="0" borderId="29" xfId="40" applyNumberFormat="1" applyFont="1" applyFill="1" applyBorder="1" applyAlignment="1" applyProtection="1">
      <alignment horizontal="center" vertical="center" wrapText="1"/>
      <protection locked="0"/>
    </xf>
    <xf numFmtId="2" fontId="11" fillId="0" borderId="0" xfId="0" applyNumberFormat="1" applyFont="1" applyAlignment="1" applyProtection="1">
      <alignment horizontal="center"/>
    </xf>
    <xf numFmtId="0" fontId="25" fillId="0" borderId="0" xfId="0" applyFont="1" applyBorder="1" applyAlignment="1" applyProtection="1">
      <alignment horizontal="center" vertical="top"/>
    </xf>
    <xf numFmtId="0" fontId="11" fillId="0" borderId="0" xfId="0" applyFont="1" applyAlignment="1" applyProtection="1">
      <alignment horizontal="center"/>
    </xf>
    <xf numFmtId="49" fontId="0" fillId="0" borderId="101" xfId="0" applyNumberFormat="1" applyFill="1" applyBorder="1" applyAlignment="1">
      <alignment vertical="center" wrapText="1"/>
    </xf>
    <xf numFmtId="0" fontId="32" fillId="0" borderId="0" xfId="25" applyFont="1"/>
    <xf numFmtId="0" fontId="16" fillId="0" borderId="0" xfId="25" applyFont="1" applyAlignment="1">
      <alignment horizontal="center"/>
    </xf>
    <xf numFmtId="0" fontId="139" fillId="0" borderId="0" xfId="25" applyFont="1" applyFill="1"/>
    <xf numFmtId="0" fontId="139" fillId="0" borderId="0" xfId="25" applyFont="1" applyFill="1" applyAlignment="1">
      <alignment horizontal="right"/>
    </xf>
    <xf numFmtId="0" fontId="147" fillId="0" borderId="43" xfId="25" applyFont="1" applyFill="1" applyBorder="1" applyAlignment="1">
      <alignment horizontal="center" vertical="center" wrapText="1"/>
    </xf>
    <xf numFmtId="0" fontId="11" fillId="0" borderId="0" xfId="25" applyFont="1"/>
    <xf numFmtId="3" fontId="11" fillId="0" borderId="0" xfId="25" applyNumberFormat="1" applyFont="1"/>
    <xf numFmtId="0" fontId="11" fillId="0" borderId="0" xfId="25" applyFont="1" applyFill="1"/>
    <xf numFmtId="3" fontId="11" fillId="0" borderId="0" xfId="25" applyNumberFormat="1" applyFont="1" applyFill="1"/>
    <xf numFmtId="3" fontId="11" fillId="0" borderId="0" xfId="25" applyNumberFormat="1" applyFont="1" applyFill="1" applyBorder="1"/>
    <xf numFmtId="0" fontId="41" fillId="0" borderId="0" xfId="25" applyFont="1" applyFill="1" applyBorder="1" applyAlignment="1">
      <alignment wrapText="1"/>
    </xf>
    <xf numFmtId="0" fontId="147" fillId="0" borderId="0" xfId="25" applyFont="1" applyFill="1" applyBorder="1"/>
    <xf numFmtId="0" fontId="147" fillId="0" borderId="0" xfId="25" applyFont="1" applyFill="1" applyBorder="1" applyAlignment="1">
      <alignment vertical="center" wrapText="1"/>
    </xf>
    <xf numFmtId="0" fontId="147" fillId="0" borderId="0" xfId="25" applyFont="1" applyFill="1" applyBorder="1" applyAlignment="1">
      <alignment horizontal="center"/>
    </xf>
    <xf numFmtId="4" fontId="147" fillId="0" borderId="0" xfId="25" applyNumberFormat="1" applyFont="1" applyFill="1" applyBorder="1"/>
    <xf numFmtId="4" fontId="139" fillId="0" borderId="0" xfId="25" applyNumberFormat="1" applyFont="1" applyFill="1" applyBorder="1"/>
    <xf numFmtId="0" fontId="139" fillId="0" borderId="0" xfId="25" applyFont="1" applyFill="1" applyBorder="1" applyAlignment="1">
      <alignment horizontal="left" wrapText="1"/>
    </xf>
    <xf numFmtId="3" fontId="139" fillId="0" borderId="0" xfId="25" applyNumberFormat="1" applyFont="1" applyFill="1"/>
    <xf numFmtId="0" fontId="147" fillId="0" borderId="43" xfId="25" applyFont="1" applyFill="1" applyBorder="1" applyAlignment="1">
      <alignment horizontal="center" vertical="center" textRotation="90" wrapText="1"/>
    </xf>
    <xf numFmtId="0" fontId="147" fillId="0" borderId="3" xfId="25" applyFont="1" applyFill="1" applyBorder="1" applyAlignment="1">
      <alignment horizontal="center" vertical="center" textRotation="90" wrapText="1"/>
    </xf>
    <xf numFmtId="0" fontId="146" fillId="0" borderId="0" xfId="25" applyFont="1" applyFill="1" applyBorder="1" applyAlignment="1">
      <alignment wrapText="1"/>
    </xf>
    <xf numFmtId="0" fontId="41" fillId="0" borderId="0" xfId="25" applyFont="1"/>
    <xf numFmtId="0" fontId="139" fillId="0" borderId="0" xfId="25" applyFont="1" applyFill="1" applyBorder="1"/>
    <xf numFmtId="0" fontId="63" fillId="0" borderId="0" xfId="0" applyFont="1" applyAlignment="1" applyProtection="1">
      <protection locked="0"/>
    </xf>
    <xf numFmtId="49" fontId="152" fillId="0" borderId="35" xfId="37" applyNumberFormat="1" applyFont="1" applyFill="1" applyBorder="1" applyAlignment="1" applyProtection="1">
      <alignment horizontal="center"/>
    </xf>
    <xf numFmtId="0" fontId="12" fillId="0" borderId="7" xfId="37" applyFont="1" applyFill="1" applyBorder="1" applyAlignment="1" applyProtection="1">
      <alignment horizontal="justify" vertical="center"/>
    </xf>
    <xf numFmtId="3" fontId="12" fillId="0" borderId="28" xfId="37" applyNumberFormat="1" applyFill="1" applyBorder="1" applyProtection="1">
      <protection locked="0"/>
    </xf>
    <xf numFmtId="3" fontId="12" fillId="0" borderId="28" xfId="37" applyNumberFormat="1" applyFill="1" applyBorder="1" applyProtection="1"/>
    <xf numFmtId="3" fontId="12" fillId="0" borderId="8" xfId="37" applyNumberFormat="1" applyFont="1" applyFill="1" applyBorder="1" applyProtection="1">
      <protection locked="0"/>
    </xf>
    <xf numFmtId="0" fontId="11" fillId="0" borderId="0" xfId="25" applyFill="1" applyBorder="1" applyAlignment="1" applyProtection="1">
      <alignment vertical="center"/>
    </xf>
    <xf numFmtId="3" fontId="11" fillId="0" borderId="0" xfId="25" applyNumberFormat="1" applyFill="1" applyBorder="1" applyAlignment="1" applyProtection="1">
      <alignment vertical="center"/>
    </xf>
    <xf numFmtId="0" fontId="11" fillId="0" borderId="0" xfId="25" applyFill="1" applyBorder="1" applyAlignment="1" applyProtection="1">
      <alignment vertical="center"/>
      <protection locked="0"/>
    </xf>
    <xf numFmtId="0" fontId="11" fillId="0" borderId="0" xfId="25" applyFill="1" applyAlignment="1">
      <alignment vertical="center"/>
    </xf>
    <xf numFmtId="0" fontId="11" fillId="0" borderId="0" xfId="25" applyFill="1" applyBorder="1" applyProtection="1"/>
    <xf numFmtId="3" fontId="16" fillId="0" borderId="91" xfId="0" applyNumberFormat="1" applyFont="1" applyFill="1" applyBorder="1" applyAlignment="1" applyProtection="1">
      <alignment horizontal="right" vertical="center"/>
    </xf>
    <xf numFmtId="2" fontId="16" fillId="0" borderId="0" xfId="0" applyNumberFormat="1" applyFont="1" applyFill="1"/>
    <xf numFmtId="0" fontId="0" fillId="0" borderId="0" xfId="0" applyFont="1" applyFill="1"/>
    <xf numFmtId="0" fontId="16" fillId="0" borderId="0" xfId="0" applyFont="1" applyFill="1" applyAlignment="1">
      <alignment horizontal="center"/>
    </xf>
    <xf numFmtId="0" fontId="32" fillId="0" borderId="0" xfId="0" applyFont="1" applyFill="1"/>
    <xf numFmtId="0" fontId="153" fillId="0" borderId="133" xfId="0" applyFont="1" applyFill="1" applyBorder="1"/>
    <xf numFmtId="0" fontId="153" fillId="0" borderId="0" xfId="0" applyFont="1" applyFill="1"/>
    <xf numFmtId="0" fontId="153" fillId="0" borderId="0" xfId="0" applyFont="1" applyFill="1" applyAlignment="1">
      <alignment horizontal="right"/>
    </xf>
    <xf numFmtId="0" fontId="154" fillId="0" borderId="134" xfId="0" applyFont="1" applyFill="1" applyBorder="1" applyAlignment="1">
      <alignment horizontal="center" vertical="center" wrapText="1"/>
    </xf>
    <xf numFmtId="0" fontId="154" fillId="0" borderId="135" xfId="0" applyFont="1" applyFill="1" applyBorder="1" applyAlignment="1">
      <alignment horizontal="center" vertical="center" wrapText="1"/>
    </xf>
    <xf numFmtId="0" fontId="155" fillId="0" borderId="136" xfId="0" applyFont="1" applyFill="1" applyBorder="1" applyAlignment="1">
      <alignment horizontal="center"/>
    </xf>
    <xf numFmtId="0" fontId="154" fillId="0" borderId="43" xfId="0" applyFont="1" applyFill="1" applyBorder="1" applyAlignment="1">
      <alignment horizontal="center" vertical="center" textRotation="90" wrapText="1"/>
    </xf>
    <xf numFmtId="0" fontId="154" fillId="0" borderId="3" xfId="0" applyFont="1" applyFill="1" applyBorder="1" applyAlignment="1">
      <alignment horizontal="center" vertical="center" textRotation="90" wrapText="1"/>
    </xf>
    <xf numFmtId="0" fontId="156" fillId="0" borderId="3" xfId="0" applyFont="1" applyFill="1" applyBorder="1" applyAlignment="1">
      <alignment horizontal="center" vertical="center" textRotation="90" wrapText="1"/>
    </xf>
    <xf numFmtId="0" fontId="16" fillId="0" borderId="0" xfId="0" applyFont="1" applyFill="1" applyBorder="1" applyAlignment="1">
      <alignment horizontal="center" vertical="center" wrapText="1"/>
    </xf>
    <xf numFmtId="3" fontId="0" fillId="0" borderId="0" xfId="0" applyNumberFormat="1" applyFont="1" applyFill="1"/>
    <xf numFmtId="3" fontId="0" fillId="0" borderId="0" xfId="0" applyNumberFormat="1" applyFont="1" applyFill="1" applyBorder="1"/>
    <xf numFmtId="0" fontId="41" fillId="0" borderId="0" xfId="0" applyFont="1" applyFill="1" applyBorder="1" applyAlignment="1">
      <alignment wrapText="1"/>
    </xf>
    <xf numFmtId="0" fontId="41" fillId="0" borderId="0" xfId="0" applyFont="1" applyFill="1" applyBorder="1" applyAlignment="1">
      <alignment horizontal="center" wrapText="1"/>
    </xf>
    <xf numFmtId="0" fontId="0" fillId="0" borderId="0" xfId="0" applyFont="1" applyFill="1" applyAlignment="1">
      <alignment horizontal="left" wrapText="1"/>
    </xf>
    <xf numFmtId="0" fontId="0" fillId="0" borderId="0" xfId="0" applyFont="1" applyFill="1" applyAlignment="1">
      <alignment horizontal="left"/>
    </xf>
    <xf numFmtId="0" fontId="147" fillId="0" borderId="138" xfId="25" applyFont="1" applyFill="1" applyBorder="1" applyAlignment="1">
      <alignment horizontal="center" vertical="center" wrapText="1"/>
    </xf>
    <xf numFmtId="0" fontId="148" fillId="0" borderId="139" xfId="25" applyFont="1" applyFill="1" applyBorder="1" applyAlignment="1">
      <alignment horizontal="center"/>
    </xf>
    <xf numFmtId="3" fontId="11" fillId="0" borderId="29" xfId="33" applyNumberFormat="1" applyFill="1" applyBorder="1" applyProtection="1"/>
    <xf numFmtId="3" fontId="129" fillId="0" borderId="29" xfId="33" applyNumberFormat="1" applyFont="1" applyFill="1" applyBorder="1" applyProtection="1"/>
    <xf numFmtId="3" fontId="127" fillId="0" borderId="29" xfId="33" applyNumberFormat="1" applyFont="1" applyFill="1" applyBorder="1" applyProtection="1"/>
    <xf numFmtId="3" fontId="11" fillId="0" borderId="29" xfId="25" applyNumberFormat="1" applyFill="1" applyBorder="1"/>
    <xf numFmtId="3" fontId="11" fillId="0" borderId="29" xfId="25" applyNumberFormat="1" applyFont="1" applyFill="1" applyBorder="1"/>
    <xf numFmtId="3" fontId="129" fillId="0" borderId="29" xfId="25" applyNumberFormat="1" applyFont="1" applyFill="1" applyBorder="1"/>
    <xf numFmtId="3" fontId="127" fillId="0" borderId="29" xfId="25" applyNumberFormat="1" applyFont="1" applyFill="1" applyBorder="1"/>
    <xf numFmtId="0" fontId="29" fillId="0" borderId="0" xfId="0" applyFont="1" applyAlignment="1" applyProtection="1">
      <alignment horizontal="center"/>
    </xf>
    <xf numFmtId="0" fontId="29" fillId="0" borderId="0" xfId="0" applyFont="1" applyFill="1" applyAlignment="1" applyProtection="1">
      <alignment horizontal="center"/>
      <protection locked="0"/>
    </xf>
    <xf numFmtId="0" fontId="26" fillId="0" borderId="0" xfId="49" applyFont="1" applyFill="1" applyAlignment="1" applyProtection="1">
      <alignment horizontal="center"/>
      <protection locked="0"/>
    </xf>
    <xf numFmtId="0" fontId="26" fillId="0" borderId="0" xfId="49" applyFont="1" applyFill="1" applyBorder="1" applyAlignment="1" applyProtection="1">
      <alignment horizontal="center"/>
      <protection locked="0"/>
    </xf>
    <xf numFmtId="0" fontId="31" fillId="0" borderId="29" xfId="49" applyFont="1" applyFill="1" applyBorder="1" applyAlignment="1" applyProtection="1">
      <alignment horizontal="center" vertical="center" wrapText="1"/>
      <protection locked="0"/>
    </xf>
    <xf numFmtId="49" fontId="79" fillId="12" borderId="91" xfId="0" applyNumberFormat="1" applyFont="1" applyFill="1" applyBorder="1" applyAlignment="1" applyProtection="1">
      <alignment horizontal="left" vertical="center"/>
    </xf>
    <xf numFmtId="3" fontId="16" fillId="12" borderId="91" xfId="0" applyNumberFormat="1" applyFont="1" applyFill="1" applyBorder="1" applyAlignment="1" applyProtection="1">
      <alignment horizontal="right" vertical="center"/>
    </xf>
    <xf numFmtId="49" fontId="56" fillId="12" borderId="91" xfId="0" applyNumberFormat="1" applyFont="1" applyFill="1" applyBorder="1" applyAlignment="1" applyProtection="1">
      <alignment horizontal="left" vertical="center"/>
    </xf>
    <xf numFmtId="3" fontId="26" fillId="12" borderId="91" xfId="0" applyNumberFormat="1" applyFont="1" applyFill="1" applyBorder="1" applyAlignment="1" applyProtection="1">
      <alignment horizontal="right" vertical="center"/>
    </xf>
    <xf numFmtId="3" fontId="27" fillId="12" borderId="91" xfId="0" applyNumberFormat="1" applyFont="1" applyFill="1" applyBorder="1" applyAlignment="1" applyProtection="1">
      <alignment horizontal="right" vertical="center"/>
    </xf>
    <xf numFmtId="3" fontId="27" fillId="0" borderId="91" xfId="0" applyNumberFormat="1" applyFont="1" applyBorder="1" applyAlignment="1" applyProtection="1">
      <alignment horizontal="right" vertical="center" wrapText="1"/>
    </xf>
    <xf numFmtId="0" fontId="56" fillId="12" borderId="91" xfId="0" applyFont="1" applyFill="1" applyBorder="1" applyAlignment="1" applyProtection="1">
      <alignment horizontal="left" vertical="center"/>
    </xf>
    <xf numFmtId="0" fontId="27" fillId="12" borderId="91" xfId="0" applyFont="1" applyFill="1" applyBorder="1" applyAlignment="1" applyProtection="1">
      <alignment horizontal="right" vertical="center"/>
    </xf>
    <xf numFmtId="49" fontId="79" fillId="12" borderId="157" xfId="0" applyNumberFormat="1" applyFont="1" applyFill="1" applyBorder="1" applyAlignment="1" applyProtection="1">
      <alignment horizontal="left" vertical="center"/>
    </xf>
    <xf numFmtId="3" fontId="16" fillId="12" borderId="157" xfId="0" applyNumberFormat="1" applyFont="1" applyFill="1" applyBorder="1" applyAlignment="1" applyProtection="1">
      <alignment horizontal="right" vertical="center"/>
    </xf>
    <xf numFmtId="3" fontId="16" fillId="0" borderId="157" xfId="0" applyNumberFormat="1" applyFont="1" applyBorder="1" applyAlignment="1" applyProtection="1">
      <alignment horizontal="right" vertical="center" wrapText="1"/>
    </xf>
    <xf numFmtId="1" fontId="69" fillId="0" borderId="0" xfId="0" applyNumberFormat="1" applyFont="1" applyFill="1" applyProtection="1">
      <protection locked="0"/>
    </xf>
    <xf numFmtId="1" fontId="0" fillId="0" borderId="0" xfId="0" applyNumberFormat="1" applyFill="1" applyBorder="1" applyProtection="1">
      <protection locked="0"/>
    </xf>
    <xf numFmtId="1" fontId="0" fillId="0" borderId="0" xfId="0" applyNumberFormat="1" applyFill="1" applyAlignment="1" applyProtection="1">
      <alignment horizontal="center"/>
    </xf>
    <xf numFmtId="1" fontId="69" fillId="0" borderId="0" xfId="0" applyNumberFormat="1" applyFont="1" applyFill="1" applyProtection="1"/>
    <xf numFmtId="1" fontId="0" fillId="0" borderId="0" xfId="0" applyNumberFormat="1" applyFill="1" applyBorder="1" applyProtection="1"/>
    <xf numFmtId="1" fontId="69" fillId="0" borderId="0" xfId="0" applyNumberFormat="1" applyFont="1" applyFill="1" applyBorder="1" applyAlignment="1" applyProtection="1">
      <alignment vertical="center"/>
    </xf>
    <xf numFmtId="1" fontId="31" fillId="0" borderId="0" xfId="0" applyNumberFormat="1" applyFont="1" applyFill="1" applyBorder="1" applyAlignment="1" applyProtection="1">
      <alignment vertical="center"/>
      <protection locked="0"/>
    </xf>
    <xf numFmtId="1" fontId="12" fillId="0" borderId="0" xfId="0" applyNumberFormat="1" applyFont="1" applyFill="1" applyBorder="1" applyAlignment="1" applyProtection="1">
      <alignment vertical="center"/>
      <protection locked="0"/>
    </xf>
    <xf numFmtId="1" fontId="31" fillId="0" borderId="0" xfId="0" applyNumberFormat="1" applyFont="1" applyFill="1" applyBorder="1" applyAlignment="1" applyProtection="1">
      <alignment vertical="center"/>
    </xf>
    <xf numFmtId="1" fontId="12" fillId="0" borderId="0" xfId="0" applyNumberFormat="1" applyFont="1" applyFill="1" applyBorder="1" applyAlignment="1" applyProtection="1">
      <alignment vertical="center"/>
    </xf>
    <xf numFmtId="3" fontId="32" fillId="0" borderId="91" xfId="0" applyNumberFormat="1" applyFont="1" applyFill="1" applyBorder="1" applyAlignment="1" applyProtection="1">
      <alignment vertical="center"/>
    </xf>
    <xf numFmtId="1" fontId="74" fillId="0" borderId="0" xfId="0" applyNumberFormat="1" applyFont="1" applyFill="1" applyBorder="1" applyAlignment="1" applyProtection="1">
      <alignment vertical="center"/>
      <protection locked="0"/>
    </xf>
    <xf numFmtId="1" fontId="0" fillId="0" borderId="0" xfId="0" applyNumberFormat="1" applyFill="1" applyAlignment="1" applyProtection="1">
      <alignment vertical="center"/>
    </xf>
    <xf numFmtId="1" fontId="74" fillId="0" borderId="0" xfId="0" applyNumberFormat="1" applyFont="1" applyFill="1" applyAlignment="1" applyProtection="1">
      <alignment vertical="center"/>
    </xf>
    <xf numFmtId="1" fontId="0" fillId="0" borderId="0" xfId="0" applyNumberFormat="1" applyFill="1" applyAlignment="1" applyProtection="1">
      <alignment vertical="center"/>
      <protection locked="0"/>
    </xf>
    <xf numFmtId="3" fontId="32" fillId="0" borderId="91" xfId="0" applyNumberFormat="1" applyFont="1" applyFill="1" applyBorder="1" applyAlignment="1" applyProtection="1">
      <alignment vertical="center"/>
      <protection locked="0"/>
    </xf>
    <xf numFmtId="3" fontId="32" fillId="0" borderId="93" xfId="0" applyNumberFormat="1" applyFont="1" applyFill="1" applyBorder="1" applyAlignment="1" applyProtection="1">
      <alignment vertical="center"/>
    </xf>
    <xf numFmtId="1" fontId="0" fillId="0" borderId="0" xfId="0" applyNumberFormat="1" applyFill="1" applyAlignment="1" applyProtection="1">
      <alignment horizontal="center"/>
      <protection locked="0"/>
    </xf>
    <xf numFmtId="3" fontId="72" fillId="0" borderId="0" xfId="0" applyNumberFormat="1" applyFont="1" applyFill="1" applyProtection="1"/>
    <xf numFmtId="3" fontId="41" fillId="0" borderId="91" xfId="0" applyNumberFormat="1" applyFont="1" applyFill="1" applyBorder="1" applyAlignment="1" applyProtection="1">
      <alignment vertical="center"/>
    </xf>
    <xf numFmtId="3" fontId="41" fillId="0" borderId="103" xfId="0" applyNumberFormat="1" applyFont="1" applyFill="1" applyBorder="1" applyAlignment="1" applyProtection="1">
      <alignment vertical="center"/>
    </xf>
    <xf numFmtId="3" fontId="28" fillId="15" borderId="0" xfId="0" applyNumberFormat="1" applyFont="1" applyFill="1" applyAlignment="1" applyProtection="1">
      <alignment horizontal="center" vertical="center"/>
    </xf>
    <xf numFmtId="3" fontId="28" fillId="16" borderId="0" xfId="0" applyNumberFormat="1" applyFont="1" applyFill="1" applyAlignment="1" applyProtection="1">
      <alignment horizontal="center" vertical="center"/>
    </xf>
    <xf numFmtId="3" fontId="160" fillId="0" borderId="0" xfId="0" applyNumberFormat="1" applyFont="1" applyFill="1" applyAlignment="1" applyProtection="1"/>
    <xf numFmtId="0" fontId="0" fillId="0" borderId="0" xfId="0" applyFont="1" applyFill="1" applyProtection="1">
      <protection locked="0"/>
    </xf>
    <xf numFmtId="0" fontId="12" fillId="0" borderId="0" xfId="22" applyAlignment="1" applyProtection="1">
      <alignment horizontal="center"/>
    </xf>
    <xf numFmtId="3" fontId="161" fillId="0" borderId="105" xfId="22" applyNumberFormat="1" applyFont="1" applyBorder="1" applyAlignment="1" applyProtection="1">
      <alignment horizontal="right" vertical="center" wrapText="1"/>
    </xf>
    <xf numFmtId="3" fontId="161" fillId="0" borderId="104" xfId="22" applyNumberFormat="1" applyFont="1" applyBorder="1" applyAlignment="1" applyProtection="1">
      <alignment horizontal="right" vertical="center" wrapText="1"/>
      <protection locked="0"/>
    </xf>
    <xf numFmtId="0" fontId="162" fillId="0" borderId="104" xfId="22" applyFont="1" applyBorder="1" applyAlignment="1" applyProtection="1">
      <alignment horizontal="center" vertical="center"/>
    </xf>
    <xf numFmtId="0" fontId="163" fillId="0" borderId="141" xfId="22" applyFont="1" applyBorder="1" applyAlignment="1" applyProtection="1">
      <alignment horizontal="center" vertical="center"/>
    </xf>
    <xf numFmtId="3" fontId="161" fillId="0" borderId="103" xfId="22" applyNumberFormat="1" applyFont="1" applyBorder="1" applyAlignment="1" applyProtection="1">
      <alignment horizontal="right" vertical="center" wrapText="1"/>
    </xf>
    <xf numFmtId="3" fontId="161" fillId="0" borderId="91" xfId="22" applyNumberFormat="1" applyFont="1" applyBorder="1" applyAlignment="1" applyProtection="1">
      <alignment horizontal="right" vertical="center" wrapText="1"/>
      <protection locked="0"/>
    </xf>
    <xf numFmtId="0" fontId="162" fillId="0" borderId="91" xfId="22" applyFont="1" applyBorder="1" applyAlignment="1" applyProtection="1">
      <alignment horizontal="center" vertical="center"/>
    </xf>
    <xf numFmtId="0" fontId="163" fillId="0" borderId="101" xfId="22" applyFont="1" applyBorder="1" applyAlignment="1" applyProtection="1">
      <alignment horizontal="center" vertical="center"/>
    </xf>
    <xf numFmtId="3" fontId="17" fillId="0" borderId="102" xfId="22" applyNumberFormat="1" applyFont="1" applyBorder="1" applyAlignment="1" applyProtection="1">
      <alignment horizontal="right" vertical="center"/>
    </xf>
    <xf numFmtId="3" fontId="17" fillId="0" borderId="100" xfId="22" applyNumberFormat="1" applyFont="1" applyBorder="1" applyAlignment="1" applyProtection="1">
      <alignment horizontal="right" vertical="center"/>
    </xf>
    <xf numFmtId="0" fontId="163" fillId="0" borderId="99" xfId="22" applyFont="1" applyBorder="1" applyAlignment="1" applyProtection="1">
      <alignment horizontal="center" vertical="center" wrapText="1"/>
    </xf>
    <xf numFmtId="0" fontId="41" fillId="0" borderId="0" xfId="22" applyFont="1" applyAlignment="1" applyProtection="1">
      <alignment horizontal="center"/>
    </xf>
    <xf numFmtId="0" fontId="164" fillId="0" borderId="0" xfId="22" applyFont="1" applyAlignment="1" applyProtection="1"/>
    <xf numFmtId="0" fontId="29" fillId="0" borderId="0" xfId="0" applyFont="1" applyAlignment="1" applyProtection="1">
      <alignment horizontal="center"/>
      <protection locked="0"/>
    </xf>
    <xf numFmtId="0" fontId="29" fillId="0" borderId="0" xfId="22" applyFont="1" applyAlignment="1" applyProtection="1">
      <alignment horizontal="center"/>
    </xf>
    <xf numFmtId="49" fontId="11" fillId="0" borderId="101" xfId="0" applyNumberFormat="1" applyFont="1" applyFill="1" applyBorder="1" applyAlignment="1">
      <alignment vertical="center" wrapText="1"/>
    </xf>
    <xf numFmtId="3" fontId="11" fillId="0" borderId="103" xfId="0" applyNumberFormat="1" applyFont="1" applyFill="1" applyBorder="1" applyAlignment="1" applyProtection="1">
      <alignment vertical="center"/>
      <protection locked="0"/>
    </xf>
    <xf numFmtId="3" fontId="166" fillId="0" borderId="0" xfId="0" applyNumberFormat="1" applyFont="1" applyFill="1" applyBorder="1" applyAlignment="1" applyProtection="1">
      <alignment horizontal="center"/>
    </xf>
    <xf numFmtId="0" fontId="41" fillId="0" borderId="128" xfId="0" applyFont="1" applyBorder="1" applyAlignment="1" applyProtection="1">
      <alignment horizontal="center" vertical="center" wrapText="1"/>
    </xf>
    <xf numFmtId="0" fontId="41" fillId="0" borderId="131" xfId="0" applyFont="1" applyBorder="1" applyAlignment="1" applyProtection="1">
      <alignment horizontal="center" vertical="center"/>
    </xf>
    <xf numFmtId="0" fontId="41" fillId="0" borderId="129" xfId="0" applyFont="1" applyBorder="1" applyAlignment="1" applyProtection="1">
      <alignment horizontal="center" vertical="center" wrapText="1"/>
    </xf>
    <xf numFmtId="0" fontId="0" fillId="0" borderId="20" xfId="0" applyBorder="1" applyProtection="1">
      <protection locked="0"/>
    </xf>
    <xf numFmtId="0" fontId="0" fillId="0" borderId="79" xfId="0" applyBorder="1" applyAlignment="1" applyProtection="1">
      <alignment horizontal="center"/>
    </xf>
    <xf numFmtId="0" fontId="41" fillId="0" borderId="72" xfId="0" applyFont="1" applyBorder="1" applyAlignment="1" applyProtection="1">
      <alignment vertical="center"/>
    </xf>
    <xf numFmtId="3" fontId="41" fillId="0" borderId="73" xfId="0" applyNumberFormat="1" applyFont="1" applyBorder="1" applyAlignment="1" applyProtection="1">
      <alignment vertical="center"/>
    </xf>
    <xf numFmtId="0" fontId="0" fillId="0" borderId="112" xfId="0" applyBorder="1" applyAlignment="1" applyProtection="1">
      <alignment horizontal="center"/>
      <protection locked="0"/>
    </xf>
    <xf numFmtId="3" fontId="0" fillId="0" borderId="75" xfId="0" applyNumberFormat="1" applyBorder="1" applyProtection="1">
      <protection locked="0"/>
    </xf>
    <xf numFmtId="0" fontId="0" fillId="0" borderId="75" xfId="0" applyBorder="1" applyProtection="1">
      <protection locked="0"/>
    </xf>
    <xf numFmtId="3" fontId="0" fillId="0" borderId="91" xfId="0" applyNumberFormat="1" applyFill="1" applyBorder="1" applyAlignment="1" applyProtection="1">
      <alignment vertical="center"/>
    </xf>
    <xf numFmtId="0" fontId="29" fillId="0" borderId="0" xfId="0" applyFont="1" applyBorder="1" applyAlignment="1" applyProtection="1">
      <alignment horizontal="center"/>
    </xf>
    <xf numFmtId="2" fontId="63" fillId="0" borderId="0" xfId="0" applyNumberFormat="1" applyFont="1" applyFill="1" applyAlignment="1" applyProtection="1">
      <alignment horizontal="center"/>
    </xf>
    <xf numFmtId="2" fontId="29" fillId="0" borderId="0" xfId="0" applyNumberFormat="1" applyFont="1" applyFill="1" applyAlignment="1" applyProtection="1">
      <alignment horizontal="center"/>
    </xf>
    <xf numFmtId="0" fontId="63"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xf>
    <xf numFmtId="0" fontId="17" fillId="0" borderId="0" xfId="0" applyFont="1" applyFill="1" applyBorder="1" applyAlignment="1" applyProtection="1">
      <alignment horizontal="center"/>
      <protection locked="0"/>
    </xf>
    <xf numFmtId="0" fontId="63" fillId="0" borderId="0" xfId="0" applyFont="1" applyAlignment="1" applyProtection="1">
      <alignment horizontal="center"/>
    </xf>
    <xf numFmtId="0" fontId="29" fillId="0" borderId="0" xfId="0" applyFont="1" applyAlignment="1" applyProtection="1">
      <alignment horizontal="center"/>
    </xf>
    <xf numFmtId="49" fontId="23" fillId="0" borderId="91" xfId="0" applyNumberFormat="1" applyFont="1" applyFill="1" applyBorder="1" applyAlignment="1" applyProtection="1">
      <alignment vertical="center"/>
    </xf>
    <xf numFmtId="3" fontId="26" fillId="0" borderId="91" xfId="0" applyNumberFormat="1" applyFont="1" applyFill="1" applyBorder="1" applyAlignment="1" applyProtection="1">
      <alignment horizontal="right" vertical="center"/>
    </xf>
    <xf numFmtId="49" fontId="44" fillId="0" borderId="91" xfId="0" applyNumberFormat="1" applyFont="1" applyFill="1" applyBorder="1" applyAlignment="1" applyProtection="1">
      <alignment vertical="center"/>
    </xf>
    <xf numFmtId="3" fontId="27" fillId="0" borderId="103" xfId="0" applyNumberFormat="1" applyFont="1" applyFill="1" applyBorder="1" applyAlignment="1" applyProtection="1">
      <alignment horizontal="right" vertical="center"/>
    </xf>
    <xf numFmtId="3" fontId="27" fillId="0" borderId="104" xfId="0" applyNumberFormat="1" applyFont="1" applyFill="1" applyBorder="1" applyAlignment="1" applyProtection="1">
      <alignment horizontal="right" vertical="center"/>
      <protection locked="0"/>
    </xf>
    <xf numFmtId="1" fontId="16" fillId="0" borderId="157" xfId="0" applyNumberFormat="1" applyFont="1" applyFill="1" applyBorder="1" applyAlignment="1" applyProtection="1">
      <alignment horizontal="center" vertical="center" wrapText="1"/>
    </xf>
    <xf numFmtId="1" fontId="31" fillId="0" borderId="157" xfId="0" applyNumberFormat="1" applyFont="1" applyFill="1" applyBorder="1" applyAlignment="1" applyProtection="1">
      <alignment horizontal="center" vertical="center" wrapText="1"/>
    </xf>
    <xf numFmtId="1" fontId="31" fillId="0" borderId="157" xfId="0" applyNumberFormat="1" applyFont="1" applyBorder="1" applyAlignment="1" applyProtection="1">
      <alignment horizontal="center" vertical="center" wrapText="1"/>
    </xf>
    <xf numFmtId="1" fontId="70" fillId="0" borderId="157" xfId="0" applyNumberFormat="1" applyFont="1" applyBorder="1" applyAlignment="1" applyProtection="1">
      <alignment horizontal="center" vertical="center" wrapText="1"/>
    </xf>
    <xf numFmtId="1" fontId="31" fillId="0" borderId="157" xfId="0" applyNumberFormat="1" applyFont="1" applyBorder="1" applyAlignment="1" applyProtection="1">
      <alignment horizontal="center" vertical="center"/>
    </xf>
    <xf numFmtId="1" fontId="31" fillId="0" borderId="162" xfId="0" applyNumberFormat="1" applyFont="1" applyBorder="1" applyAlignment="1" applyProtection="1">
      <alignment horizontal="center" vertical="center" wrapText="1"/>
    </xf>
    <xf numFmtId="1" fontId="16" fillId="0" borderId="165" xfId="0" applyNumberFormat="1" applyFont="1" applyFill="1" applyBorder="1" applyAlignment="1" applyProtection="1">
      <alignment horizontal="center" vertical="center" wrapText="1"/>
    </xf>
    <xf numFmtId="3" fontId="27" fillId="0" borderId="127" xfId="0" applyNumberFormat="1" applyFont="1" applyFill="1" applyBorder="1" applyAlignment="1" applyProtection="1">
      <alignment horizontal="right" vertical="center"/>
    </xf>
    <xf numFmtId="2" fontId="79" fillId="0" borderId="168" xfId="0" applyNumberFormat="1" applyFont="1" applyFill="1" applyBorder="1" applyAlignment="1" applyProtection="1">
      <alignment horizontal="center" vertical="center" wrapText="1"/>
    </xf>
    <xf numFmtId="49" fontId="79" fillId="0" borderId="169" xfId="25" applyNumberFormat="1" applyFont="1" applyBorder="1" applyAlignment="1" applyProtection="1">
      <alignment horizontal="left" vertical="center"/>
    </xf>
    <xf numFmtId="2" fontId="41" fillId="0" borderId="172" xfId="0" applyNumberFormat="1" applyFont="1" applyFill="1" applyBorder="1" applyAlignment="1" applyProtection="1">
      <alignment horizontal="center" vertical="center" wrapText="1"/>
    </xf>
    <xf numFmtId="170" fontId="41" fillId="0" borderId="126" xfId="0" applyNumberFormat="1" applyFont="1" applyFill="1" applyBorder="1" applyAlignment="1" applyProtection="1">
      <alignment vertical="center" wrapText="1"/>
    </xf>
    <xf numFmtId="3" fontId="16" fillId="0" borderId="91" xfId="0" applyNumberFormat="1" applyFont="1" applyBorder="1" applyAlignment="1" applyProtection="1">
      <alignment horizontal="right" vertical="center" wrapText="1"/>
    </xf>
    <xf numFmtId="3" fontId="16" fillId="0" borderId="103" xfId="0" applyNumberFormat="1" applyFont="1" applyFill="1" applyBorder="1" applyAlignment="1" applyProtection="1">
      <alignment horizontal="right" vertical="center"/>
    </xf>
    <xf numFmtId="3" fontId="26" fillId="12" borderId="103" xfId="0" applyNumberFormat="1" applyFont="1" applyFill="1" applyBorder="1" applyAlignment="1" applyProtection="1">
      <alignment horizontal="right" vertical="center"/>
    </xf>
    <xf numFmtId="3" fontId="27" fillId="12" borderId="103" xfId="0" applyNumberFormat="1" applyFont="1" applyFill="1" applyBorder="1" applyAlignment="1" applyProtection="1">
      <alignment horizontal="right" vertical="center"/>
    </xf>
    <xf numFmtId="0" fontId="31" fillId="0" borderId="159" xfId="0" applyFont="1" applyBorder="1" applyAlignment="1" applyProtection="1">
      <alignment horizontal="center" vertical="center" wrapText="1"/>
    </xf>
    <xf numFmtId="0" fontId="31" fillId="0" borderId="160" xfId="0" applyFont="1" applyBorder="1" applyAlignment="1" applyProtection="1">
      <alignment horizontal="center" vertical="center" wrapText="1"/>
    </xf>
    <xf numFmtId="0" fontId="31" fillId="0" borderId="164" xfId="0" applyFont="1" applyBorder="1" applyAlignment="1" applyProtection="1">
      <alignment horizontal="center" vertical="center" wrapText="1"/>
    </xf>
    <xf numFmtId="49" fontId="0" fillId="0" borderId="29" xfId="0" applyNumberFormat="1" applyFont="1" applyFill="1" applyBorder="1" applyAlignment="1" applyProtection="1">
      <alignment horizontal="center" vertical="center"/>
    </xf>
    <xf numFmtId="0" fontId="11" fillId="0" borderId="11" xfId="0" applyFont="1" applyFill="1" applyBorder="1" applyAlignment="1" applyProtection="1">
      <alignment vertical="center" wrapText="1"/>
    </xf>
    <xf numFmtId="3" fontId="27" fillId="0" borderId="29" xfId="0" applyNumberFormat="1" applyFont="1" applyFill="1" applyBorder="1" applyAlignment="1" applyProtection="1">
      <alignment vertical="center"/>
      <protection locked="0"/>
    </xf>
    <xf numFmtId="3" fontId="27" fillId="0" borderId="29" xfId="0" applyNumberFormat="1" applyFont="1" applyFill="1" applyBorder="1" applyAlignment="1" applyProtection="1">
      <alignment horizontal="center" vertical="center"/>
    </xf>
    <xf numFmtId="3" fontId="27" fillId="0" borderId="12" xfId="0" applyNumberFormat="1" applyFont="1" applyFill="1" applyBorder="1" applyAlignment="1" applyProtection="1">
      <alignment horizontal="center" vertical="center"/>
    </xf>
    <xf numFmtId="0" fontId="17" fillId="0" borderId="111" xfId="0" applyFont="1" applyFill="1" applyBorder="1" applyAlignment="1" applyProtection="1">
      <alignment horizontal="center" vertical="center" wrapText="1"/>
    </xf>
    <xf numFmtId="49" fontId="48" fillId="0" borderId="109" xfId="0" applyNumberFormat="1" applyFont="1" applyFill="1" applyBorder="1" applyAlignment="1" applyProtection="1">
      <alignment horizontal="center" vertical="center" wrapText="1"/>
    </xf>
    <xf numFmtId="49" fontId="41" fillId="0" borderId="109" xfId="0" applyNumberFormat="1" applyFont="1" applyFill="1" applyBorder="1" applyAlignment="1" applyProtection="1">
      <alignment horizontal="center" vertical="center" textRotation="90" wrapText="1"/>
    </xf>
    <xf numFmtId="0" fontId="48" fillId="0" borderId="109" xfId="0" applyFont="1" applyFill="1" applyBorder="1" applyAlignment="1" applyProtection="1">
      <alignment horizontal="center" vertical="center" textRotation="90" wrapText="1"/>
    </xf>
    <xf numFmtId="0" fontId="49" fillId="0" borderId="109" xfId="0" applyFont="1" applyFill="1" applyBorder="1" applyAlignment="1" applyProtection="1">
      <alignment horizontal="center" vertical="center" textRotation="90" wrapText="1"/>
    </xf>
    <xf numFmtId="0" fontId="24" fillId="0" borderId="110" xfId="0" applyFont="1" applyFill="1" applyBorder="1" applyAlignment="1" applyProtection="1">
      <alignment horizontal="center" vertical="center" textRotation="90" wrapText="1"/>
    </xf>
    <xf numFmtId="3" fontId="27" fillId="0" borderId="39" xfId="0" applyNumberFormat="1" applyFont="1" applyFill="1" applyBorder="1" applyAlignment="1" applyProtection="1">
      <alignment horizontal="right" vertical="center"/>
    </xf>
    <xf numFmtId="3" fontId="27" fillId="0" borderId="39" xfId="0" applyNumberFormat="1" applyFont="1" applyFill="1" applyBorder="1" applyAlignment="1" applyProtection="1">
      <alignment vertical="center"/>
    </xf>
    <xf numFmtId="3" fontId="27" fillId="0" borderId="20" xfId="0" applyNumberFormat="1" applyFont="1" applyFill="1" applyBorder="1" applyAlignment="1" applyProtection="1">
      <alignment vertical="center"/>
    </xf>
    <xf numFmtId="0" fontId="0" fillId="0" borderId="111" xfId="0" applyFont="1" applyFill="1" applyBorder="1" applyAlignment="1" applyProtection="1">
      <alignment horizontal="center"/>
    </xf>
    <xf numFmtId="0" fontId="0" fillId="0" borderId="109" xfId="0" applyFont="1" applyFill="1" applyBorder="1" applyAlignment="1" applyProtection="1">
      <alignment horizontal="center" vertical="center"/>
    </xf>
    <xf numFmtId="49" fontId="0" fillId="0" borderId="109" xfId="0" applyNumberFormat="1" applyFont="1" applyFill="1" applyBorder="1" applyAlignment="1" applyProtection="1">
      <alignment horizontal="center" vertical="center"/>
    </xf>
    <xf numFmtId="0" fontId="0" fillId="0" borderId="109" xfId="0" applyFill="1" applyBorder="1" applyAlignment="1" applyProtection="1">
      <alignment horizontal="center"/>
    </xf>
    <xf numFmtId="0" fontId="0" fillId="0" borderId="110" xfId="0" applyFill="1" applyBorder="1" applyAlignment="1" applyProtection="1">
      <alignment horizontal="center"/>
    </xf>
    <xf numFmtId="0" fontId="93" fillId="0" borderId="42" xfId="0" applyFont="1" applyBorder="1" applyAlignment="1" applyProtection="1">
      <alignment horizontal="center" vertical="center" wrapText="1"/>
    </xf>
    <xf numFmtId="0" fontId="22" fillId="0" borderId="59" xfId="0" applyFont="1" applyBorder="1" applyAlignment="1" applyProtection="1">
      <alignment horizontal="center" vertical="top" wrapText="1"/>
    </xf>
    <xf numFmtId="0" fontId="22" fillId="0" borderId="42" xfId="0" applyFont="1" applyBorder="1" applyAlignment="1" applyProtection="1">
      <alignment horizontal="center" vertical="top" wrapText="1"/>
    </xf>
    <xf numFmtId="0" fontId="22" fillId="0" borderId="130" xfId="0" applyFont="1" applyBorder="1" applyAlignment="1" applyProtection="1">
      <alignment horizontal="center" vertical="top" wrapText="1"/>
    </xf>
    <xf numFmtId="1" fontId="22" fillId="0" borderId="129" xfId="0" applyNumberFormat="1" applyFont="1" applyBorder="1" applyAlignment="1" applyProtection="1">
      <alignment horizontal="center" vertical="top" wrapText="1"/>
    </xf>
    <xf numFmtId="3" fontId="32" fillId="0" borderId="0" xfId="0" applyNumberFormat="1" applyFont="1" applyBorder="1" applyAlignment="1" applyProtection="1">
      <alignment horizontal="center"/>
    </xf>
    <xf numFmtId="170" fontId="56" fillId="12" borderId="101" xfId="0" applyNumberFormat="1" applyFont="1" applyFill="1" applyBorder="1" applyAlignment="1" applyProtection="1">
      <alignment vertical="center" wrapText="1"/>
    </xf>
    <xf numFmtId="170" fontId="79" fillId="12" borderId="101" xfId="0" applyNumberFormat="1" applyFont="1" applyFill="1" applyBorder="1" applyAlignment="1" applyProtection="1">
      <alignment vertical="center" wrapText="1"/>
    </xf>
    <xf numFmtId="170" fontId="41" fillId="0" borderId="101" xfId="0" applyNumberFormat="1" applyFont="1" applyFill="1" applyBorder="1" applyAlignment="1" applyProtection="1">
      <alignment vertical="center" wrapText="1"/>
    </xf>
    <xf numFmtId="0" fontId="56" fillId="12" borderId="101" xfId="0" applyFont="1" applyFill="1" applyBorder="1" applyAlignment="1" applyProtection="1">
      <alignment vertical="center" wrapText="1"/>
    </xf>
    <xf numFmtId="0" fontId="31" fillId="0" borderId="141" xfId="0" applyFont="1" applyBorder="1" applyProtection="1"/>
    <xf numFmtId="0" fontId="31" fillId="0" borderId="104" xfId="0" applyFont="1" applyBorder="1" applyAlignment="1" applyProtection="1">
      <alignment horizontal="left" vertical="center"/>
    </xf>
    <xf numFmtId="0" fontId="11" fillId="0" borderId="104" xfId="0" applyFont="1" applyBorder="1" applyAlignment="1" applyProtection="1">
      <alignment horizontal="center"/>
    </xf>
    <xf numFmtId="3" fontId="11" fillId="0" borderId="104" xfId="0" applyNumberFormat="1" applyFont="1" applyBorder="1" applyProtection="1"/>
    <xf numFmtId="3" fontId="11" fillId="0" borderId="105" xfId="0" applyNumberFormat="1" applyFont="1" applyBorder="1" applyProtection="1"/>
    <xf numFmtId="170" fontId="72" fillId="12" borderId="173" xfId="0" applyNumberFormat="1" applyFont="1" applyFill="1" applyBorder="1" applyAlignment="1" applyProtection="1">
      <alignment vertical="center" wrapText="1"/>
    </xf>
    <xf numFmtId="3" fontId="16" fillId="0" borderId="162" xfId="0" applyNumberFormat="1" applyFont="1" applyBorder="1" applyAlignment="1" applyProtection="1">
      <alignment horizontal="right" vertical="center"/>
    </xf>
    <xf numFmtId="0" fontId="31" fillId="12" borderId="158" xfId="0" applyFont="1" applyFill="1" applyBorder="1" applyAlignment="1" applyProtection="1">
      <alignment horizontal="center" vertical="top"/>
    </xf>
    <xf numFmtId="3" fontId="23" fillId="0" borderId="91" xfId="0" applyNumberFormat="1" applyFont="1" applyFill="1" applyBorder="1" applyAlignment="1" applyProtection="1">
      <alignment vertical="center"/>
    </xf>
    <xf numFmtId="3" fontId="27" fillId="0" borderId="91" xfId="0" applyNumberFormat="1" applyFont="1" applyFill="1" applyBorder="1" applyAlignment="1" applyProtection="1">
      <alignment horizontal="right" vertical="center"/>
      <protection locked="0"/>
    </xf>
    <xf numFmtId="3" fontId="32" fillId="0" borderId="91" xfId="0" applyNumberFormat="1" applyFont="1" applyFill="1" applyBorder="1" applyAlignment="1" applyProtection="1">
      <alignment horizontal="right" vertical="center"/>
    </xf>
    <xf numFmtId="3" fontId="32" fillId="0" borderId="91" xfId="0" applyNumberFormat="1" applyFont="1" applyFill="1" applyBorder="1" applyAlignment="1" applyProtection="1">
      <alignment horizontal="right" vertical="center"/>
      <protection locked="0"/>
    </xf>
    <xf numFmtId="3" fontId="26" fillId="0" borderId="103" xfId="0" applyNumberFormat="1" applyFont="1" applyFill="1" applyBorder="1" applyAlignment="1" applyProtection="1">
      <alignment horizontal="right" vertical="center"/>
    </xf>
    <xf numFmtId="3" fontId="31" fillId="0" borderId="101" xfId="0" applyNumberFormat="1" applyFont="1" applyFill="1" applyBorder="1" applyAlignment="1" applyProtection="1">
      <alignment vertical="center" wrapText="1"/>
    </xf>
    <xf numFmtId="3" fontId="27" fillId="0" borderId="103" xfId="0" applyNumberFormat="1" applyFont="1" applyFill="1" applyBorder="1" applyAlignment="1" applyProtection="1">
      <alignment horizontal="right" vertical="center"/>
      <protection locked="0"/>
    </xf>
    <xf numFmtId="3" fontId="32" fillId="0" borderId="103" xfId="0" applyNumberFormat="1" applyFont="1" applyFill="1" applyBorder="1" applyAlignment="1" applyProtection="1">
      <alignment horizontal="right" vertical="center"/>
      <protection locked="0"/>
    </xf>
    <xf numFmtId="3" fontId="26" fillId="0" borderId="104" xfId="0" applyNumberFormat="1" applyFont="1" applyFill="1" applyBorder="1" applyAlignment="1" applyProtection="1">
      <alignment horizontal="right" vertical="center"/>
    </xf>
    <xf numFmtId="3" fontId="26" fillId="0" borderId="105" xfId="0" applyNumberFormat="1" applyFont="1" applyFill="1" applyBorder="1" applyAlignment="1" applyProtection="1">
      <alignment horizontal="right" vertical="center"/>
    </xf>
    <xf numFmtId="0" fontId="31" fillId="0" borderId="97" xfId="0" applyFont="1" applyBorder="1" applyAlignment="1" applyProtection="1">
      <alignment horizontal="center" vertical="center" wrapText="1"/>
    </xf>
    <xf numFmtId="0" fontId="41" fillId="0" borderId="97" xfId="0" applyFont="1" applyFill="1" applyBorder="1" applyAlignment="1" applyProtection="1">
      <alignment horizontal="center" vertical="center" wrapText="1"/>
    </xf>
    <xf numFmtId="0" fontId="41" fillId="0" borderId="158" xfId="0" applyFont="1" applyFill="1" applyBorder="1" applyAlignment="1" applyProtection="1">
      <alignment horizontal="center" vertical="top" wrapText="1"/>
    </xf>
    <xf numFmtId="0" fontId="79" fillId="0" borderId="159" xfId="0" applyFont="1" applyFill="1" applyBorder="1" applyAlignment="1" applyProtection="1">
      <alignment horizontal="center" vertical="top" wrapText="1"/>
    </xf>
    <xf numFmtId="0" fontId="31" fillId="0" borderId="159" xfId="0" applyFont="1" applyFill="1" applyBorder="1" applyAlignment="1" applyProtection="1">
      <alignment horizontal="center" vertical="top" wrapText="1"/>
    </xf>
    <xf numFmtId="49" fontId="31" fillId="0" borderId="159" xfId="0" applyNumberFormat="1" applyFont="1" applyFill="1" applyBorder="1" applyAlignment="1" applyProtection="1">
      <alignment horizontal="center" vertical="top" wrapText="1"/>
    </xf>
    <xf numFmtId="49" fontId="70" fillId="0" borderId="159" xfId="0" applyNumberFormat="1" applyFont="1" applyFill="1" applyBorder="1" applyAlignment="1" applyProtection="1">
      <alignment horizontal="center" vertical="top" wrapText="1"/>
    </xf>
    <xf numFmtId="0" fontId="70" fillId="0" borderId="159" xfId="0" applyFont="1" applyFill="1" applyBorder="1" applyAlignment="1" applyProtection="1">
      <alignment horizontal="center" vertical="top" wrapText="1"/>
    </xf>
    <xf numFmtId="0" fontId="31" fillId="0" borderId="159" xfId="0" applyFont="1" applyFill="1" applyBorder="1" applyAlignment="1" applyProtection="1">
      <alignment horizontal="center" vertical="top"/>
    </xf>
    <xf numFmtId="0" fontId="31" fillId="0" borderId="160" xfId="0" applyFont="1" applyFill="1" applyBorder="1" applyAlignment="1" applyProtection="1">
      <alignment horizontal="center" vertical="top" wrapText="1"/>
    </xf>
    <xf numFmtId="49" fontId="31" fillId="0" borderId="99" xfId="0" applyNumberFormat="1" applyFont="1" applyFill="1" applyBorder="1" applyAlignment="1" applyProtection="1">
      <alignment vertical="center" wrapText="1"/>
    </xf>
    <xf numFmtId="49" fontId="23" fillId="0" borderId="100" xfId="0" applyNumberFormat="1" applyFont="1" applyFill="1" applyBorder="1" applyAlignment="1" applyProtection="1">
      <alignment horizontal="left" vertical="center"/>
    </xf>
    <xf numFmtId="3" fontId="26" fillId="0" borderId="100" xfId="0" applyNumberFormat="1" applyFont="1" applyFill="1" applyBorder="1" applyAlignment="1" applyProtection="1">
      <alignment horizontal="right" vertical="center"/>
    </xf>
    <xf numFmtId="3" fontId="26" fillId="0" borderId="102" xfId="0" applyNumberFormat="1" applyFont="1" applyFill="1" applyBorder="1" applyAlignment="1" applyProtection="1">
      <alignment horizontal="right" vertical="center"/>
    </xf>
    <xf numFmtId="3" fontId="27" fillId="0" borderId="105" xfId="0" applyNumberFormat="1" applyFont="1" applyFill="1" applyBorder="1" applyAlignment="1" applyProtection="1">
      <alignment horizontal="right" vertical="center"/>
      <protection locked="0"/>
    </xf>
    <xf numFmtId="3" fontId="32" fillId="0" borderId="104" xfId="0" applyNumberFormat="1" applyFont="1" applyFill="1" applyBorder="1" applyAlignment="1" applyProtection="1">
      <alignment horizontal="right" vertical="center"/>
    </xf>
    <xf numFmtId="0" fontId="0" fillId="0" borderId="120" xfId="0" applyBorder="1" applyAlignment="1" applyProtection="1">
      <alignment horizontal="center"/>
      <protection locked="0"/>
    </xf>
    <xf numFmtId="0" fontId="0" fillId="0" borderId="121" xfId="0" applyBorder="1" applyProtection="1">
      <protection locked="0"/>
    </xf>
    <xf numFmtId="0" fontId="167" fillId="0" borderId="0" xfId="0" applyFont="1" applyFill="1" applyProtection="1"/>
    <xf numFmtId="0" fontId="29" fillId="0" borderId="0" xfId="22" applyFont="1" applyBorder="1" applyAlignment="1" applyProtection="1">
      <alignment horizontal="left"/>
    </xf>
    <xf numFmtId="3" fontId="11" fillId="13" borderId="29" xfId="0" applyNumberFormat="1" applyFont="1" applyFill="1" applyBorder="1" applyAlignment="1" applyProtection="1">
      <alignment horizontal="right" vertical="center" wrapText="1"/>
      <protection locked="0"/>
    </xf>
    <xf numFmtId="0" fontId="167" fillId="0" borderId="0" xfId="22" applyFont="1" applyProtection="1"/>
    <xf numFmtId="0" fontId="167" fillId="0" borderId="0" xfId="22" applyFont="1" applyBorder="1"/>
    <xf numFmtId="49" fontId="27" fillId="0" borderId="174" xfId="23" applyNumberFormat="1" applyFont="1" applyFill="1" applyBorder="1" applyAlignment="1">
      <alignment vertical="center" wrapText="1"/>
    </xf>
    <xf numFmtId="3" fontId="11" fillId="0" borderId="101" xfId="0" applyNumberFormat="1" applyFont="1" applyFill="1" applyBorder="1" applyAlignment="1" applyProtection="1">
      <alignment vertical="center" wrapText="1"/>
    </xf>
    <xf numFmtId="3" fontId="24" fillId="0" borderId="91" xfId="0" applyNumberFormat="1" applyFont="1" applyFill="1" applyBorder="1" applyAlignment="1" applyProtection="1">
      <alignment vertical="center"/>
    </xf>
    <xf numFmtId="3" fontId="81" fillId="0" borderId="0" xfId="53" applyNumberFormat="1" applyFont="1" applyFill="1" applyAlignment="1" applyProtection="1">
      <alignment horizontal="center"/>
    </xf>
    <xf numFmtId="0" fontId="31" fillId="0" borderId="50" xfId="22" applyFont="1" applyBorder="1" applyAlignment="1" applyProtection="1">
      <alignment horizontal="center" vertical="center"/>
    </xf>
    <xf numFmtId="0" fontId="31" fillId="0" borderId="50" xfId="22" applyFont="1" applyBorder="1" applyAlignment="1" applyProtection="1">
      <alignment horizontal="center" vertical="center" wrapText="1"/>
    </xf>
    <xf numFmtId="0" fontId="29" fillId="0" borderId="0" xfId="22" applyFont="1" applyAlignment="1" applyProtection="1">
      <alignment horizontal="center"/>
    </xf>
    <xf numFmtId="0" fontId="168" fillId="0" borderId="0" xfId="71"/>
    <xf numFmtId="0" fontId="74" fillId="0" borderId="0" xfId="22" applyFont="1" applyBorder="1" applyAlignment="1" applyProtection="1">
      <alignment horizontal="left" wrapText="1"/>
    </xf>
    <xf numFmtId="3" fontId="13" fillId="0" borderId="0" xfId="22" applyNumberFormat="1" applyFont="1" applyFill="1" applyBorder="1" applyAlignment="1" applyProtection="1">
      <alignment horizontal="center" vertical="center"/>
      <protection locked="0"/>
    </xf>
    <xf numFmtId="0" fontId="12" fillId="0" borderId="2" xfId="22" applyBorder="1" applyProtection="1"/>
    <xf numFmtId="0" fontId="12" fillId="0" borderId="57" xfId="22" applyBorder="1" applyProtection="1"/>
    <xf numFmtId="0" fontId="12" fillId="0" borderId="48" xfId="22" applyBorder="1" applyProtection="1"/>
    <xf numFmtId="3" fontId="53" fillId="0" borderId="0" xfId="71" applyNumberFormat="1" applyFont="1" applyFill="1" applyBorder="1" applyAlignment="1" applyProtection="1">
      <alignment horizontal="center"/>
    </xf>
    <xf numFmtId="0" fontId="168" fillId="0" borderId="0" xfId="71" applyProtection="1">
      <protection locked="0"/>
    </xf>
    <xf numFmtId="0" fontId="92" fillId="21" borderId="0" xfId="0" applyFont="1" applyFill="1" applyProtection="1"/>
    <xf numFmtId="0" fontId="79" fillId="0" borderId="0" xfId="0" applyFont="1" applyAlignment="1" applyProtection="1">
      <alignment horizontal="center"/>
      <protection locked="0"/>
    </xf>
    <xf numFmtId="0" fontId="72" fillId="0" borderId="29" xfId="0" applyFont="1" applyFill="1" applyBorder="1" applyAlignment="1" applyProtection="1">
      <alignment horizontal="right" vertical="center"/>
    </xf>
    <xf numFmtId="3" fontId="72" fillId="0" borderId="29" xfId="0" applyNumberFormat="1" applyFont="1" applyFill="1" applyBorder="1" applyAlignment="1" applyProtection="1">
      <alignment horizontal="left" vertical="center"/>
    </xf>
    <xf numFmtId="0" fontId="72" fillId="0" borderId="29" xfId="0" applyFont="1" applyFill="1" applyBorder="1" applyAlignment="1" applyProtection="1">
      <alignment horizontal="left" vertical="center"/>
    </xf>
    <xf numFmtId="0" fontId="72" fillId="0" borderId="29" xfId="0" applyFont="1" applyFill="1" applyBorder="1" applyAlignment="1" applyProtection="1">
      <alignment horizontal="center" vertical="center"/>
    </xf>
    <xf numFmtId="3" fontId="72" fillId="0" borderId="29" xfId="0" applyNumberFormat="1" applyFont="1" applyFill="1" applyBorder="1" applyAlignment="1" applyProtection="1">
      <alignment horizontal="center" vertical="center"/>
    </xf>
    <xf numFmtId="0" fontId="72" fillId="0" borderId="29" xfId="0" applyFont="1" applyFill="1" applyBorder="1" applyAlignment="1" applyProtection="1">
      <alignment horizontal="right" vertical="center" wrapText="1"/>
    </xf>
    <xf numFmtId="3" fontId="72" fillId="0" borderId="29" xfId="0" applyNumberFormat="1" applyFont="1" applyFill="1" applyBorder="1" applyAlignment="1" applyProtection="1">
      <alignment horizontal="left" vertical="center" wrapText="1"/>
    </xf>
    <xf numFmtId="0" fontId="72" fillId="0" borderId="122" xfId="0" applyFont="1" applyFill="1" applyBorder="1" applyAlignment="1" applyProtection="1">
      <alignment vertical="center"/>
    </xf>
    <xf numFmtId="0" fontId="72" fillId="0" borderId="85" xfId="0" applyFont="1" applyFill="1" applyBorder="1" applyAlignment="1" applyProtection="1">
      <alignment horizontal="center" vertical="center"/>
    </xf>
    <xf numFmtId="3" fontId="72" fillId="0" borderId="85" xfId="0" applyNumberFormat="1" applyFont="1" applyFill="1" applyBorder="1" applyAlignment="1" applyProtection="1">
      <alignment vertical="center"/>
    </xf>
    <xf numFmtId="3" fontId="72" fillId="0" borderId="86" xfId="0" applyNumberFormat="1" applyFont="1" applyFill="1" applyBorder="1" applyAlignment="1" applyProtection="1">
      <alignment horizontal="center" vertical="center"/>
    </xf>
    <xf numFmtId="0" fontId="79" fillId="0" borderId="84" xfId="0" applyFont="1" applyFill="1" applyBorder="1" applyAlignment="1" applyProtection="1">
      <alignment horizontal="center" vertical="center"/>
    </xf>
    <xf numFmtId="3" fontId="72" fillId="0" borderId="68" xfId="0" applyNumberFormat="1" applyFont="1" applyFill="1" applyBorder="1" applyAlignment="1" applyProtection="1">
      <alignment horizontal="center" vertical="center"/>
    </xf>
    <xf numFmtId="0" fontId="72" fillId="0" borderId="84" xfId="0" applyFont="1" applyFill="1" applyBorder="1" applyAlignment="1" applyProtection="1">
      <alignment vertical="center"/>
    </xf>
    <xf numFmtId="3" fontId="72" fillId="0" borderId="68" xfId="0" applyNumberFormat="1" applyFont="1" applyFill="1" applyBorder="1" applyAlignment="1" applyProtection="1">
      <alignment horizontal="left" vertical="center"/>
    </xf>
    <xf numFmtId="0" fontId="72" fillId="0" borderId="84" xfId="0" applyFont="1" applyFill="1" applyBorder="1" applyAlignment="1" applyProtection="1">
      <alignment vertical="center" wrapText="1"/>
    </xf>
    <xf numFmtId="0" fontId="72" fillId="0" borderId="84" xfId="0" applyFont="1" applyFill="1" applyBorder="1" applyAlignment="1" applyProtection="1">
      <alignment horizontal="left" vertical="center"/>
    </xf>
    <xf numFmtId="0" fontId="72" fillId="0" borderId="87" xfId="0" applyFont="1" applyFill="1" applyBorder="1" applyAlignment="1" applyProtection="1">
      <alignment vertical="center" wrapText="1"/>
    </xf>
    <xf numFmtId="0" fontId="72" fillId="0" borderId="88" xfId="0" applyFont="1" applyFill="1" applyBorder="1" applyAlignment="1" applyProtection="1">
      <alignment horizontal="left" vertical="center"/>
    </xf>
    <xf numFmtId="3" fontId="72" fillId="0" borderId="88" xfId="0" applyNumberFormat="1" applyFont="1" applyFill="1" applyBorder="1" applyAlignment="1" applyProtection="1">
      <alignment horizontal="left" vertical="center"/>
    </xf>
    <xf numFmtId="3" fontId="72" fillId="0" borderId="89" xfId="0" applyNumberFormat="1" applyFont="1" applyFill="1" applyBorder="1" applyAlignment="1" applyProtection="1">
      <alignment horizontal="left" vertical="center"/>
    </xf>
    <xf numFmtId="0" fontId="16" fillId="0" borderId="182" xfId="0" applyFont="1" applyFill="1" applyBorder="1" applyAlignment="1" applyProtection="1">
      <alignment horizontal="left"/>
    </xf>
    <xf numFmtId="0" fontId="16" fillId="0" borderId="182" xfId="0" applyFont="1" applyFill="1" applyBorder="1" applyAlignment="1" applyProtection="1">
      <alignment vertical="center" wrapText="1"/>
    </xf>
    <xf numFmtId="0" fontId="32" fillId="0" borderId="182" xfId="0" applyFont="1" applyFill="1" applyBorder="1" applyAlignment="1" applyProtection="1">
      <alignment vertical="center" wrapText="1"/>
    </xf>
    <xf numFmtId="0" fontId="60" fillId="0" borderId="182" xfId="0" applyFont="1" applyFill="1" applyBorder="1" applyAlignment="1" applyProtection="1">
      <alignment vertical="top" wrapText="1"/>
    </xf>
    <xf numFmtId="0" fontId="32" fillId="0" borderId="182" xfId="0" applyFont="1" applyFill="1" applyBorder="1" applyAlignment="1" applyProtection="1">
      <alignment vertical="center"/>
    </xf>
    <xf numFmtId="0" fontId="60" fillId="0" borderId="182" xfId="0" applyFont="1" applyFill="1" applyBorder="1" applyAlignment="1" applyProtection="1">
      <alignment vertical="top" wrapText="1"/>
      <protection locked="0"/>
    </xf>
    <xf numFmtId="0" fontId="60" fillId="0" borderId="182" xfId="0" applyFont="1" applyFill="1" applyBorder="1" applyAlignment="1" applyProtection="1">
      <alignment vertical="center" wrapText="1"/>
      <protection locked="0"/>
    </xf>
    <xf numFmtId="0" fontId="63" fillId="0" borderId="182" xfId="0" applyFont="1" applyFill="1" applyBorder="1" applyAlignment="1" applyProtection="1">
      <alignment vertical="center" wrapText="1"/>
    </xf>
    <xf numFmtId="0" fontId="61" fillId="0" borderId="182" xfId="0" applyFont="1" applyFill="1" applyBorder="1" applyAlignment="1">
      <alignment wrapText="1"/>
    </xf>
    <xf numFmtId="0" fontId="60" fillId="0" borderId="182" xfId="0" applyFont="1" applyFill="1" applyBorder="1" applyAlignment="1">
      <alignment wrapText="1"/>
    </xf>
    <xf numFmtId="0" fontId="60" fillId="0" borderId="182" xfId="0" applyFont="1" applyFill="1" applyBorder="1" applyAlignment="1">
      <alignment vertical="center" wrapText="1"/>
    </xf>
    <xf numFmtId="0" fontId="16" fillId="0" borderId="182" xfId="0" applyFont="1" applyFill="1" applyBorder="1" applyAlignment="1" applyProtection="1">
      <alignment horizontal="left" vertical="center"/>
    </xf>
    <xf numFmtId="0" fontId="64" fillId="0" borderId="182" xfId="0" applyFont="1" applyFill="1" applyBorder="1" applyAlignment="1" applyProtection="1">
      <alignment vertical="center" wrapText="1"/>
    </xf>
    <xf numFmtId="0" fontId="60" fillId="0" borderId="182" xfId="0" applyFont="1" applyFill="1" applyBorder="1" applyAlignment="1" applyProtection="1">
      <alignment vertical="center" wrapText="1"/>
    </xf>
    <xf numFmtId="0" fontId="40" fillId="0" borderId="182" xfId="0" applyFont="1" applyFill="1" applyBorder="1" applyAlignment="1" applyProtection="1">
      <alignment vertical="center" wrapText="1"/>
    </xf>
    <xf numFmtId="0" fontId="32" fillId="0" borderId="182" xfId="0" applyFont="1" applyFill="1" applyBorder="1" applyAlignment="1" applyProtection="1">
      <alignment vertical="center" wrapText="1"/>
      <protection locked="0"/>
    </xf>
    <xf numFmtId="0" fontId="16" fillId="0" borderId="183" xfId="0" applyFont="1" applyFill="1" applyBorder="1" applyAlignment="1" applyProtection="1">
      <alignment vertical="center" wrapText="1"/>
    </xf>
    <xf numFmtId="3" fontId="59" fillId="0" borderId="127" xfId="0" applyNumberFormat="1" applyFont="1" applyFill="1" applyBorder="1" applyProtection="1"/>
    <xf numFmtId="3" fontId="17" fillId="0" borderId="127" xfId="0" applyNumberFormat="1" applyFont="1" applyFill="1" applyBorder="1" applyAlignment="1" applyProtection="1">
      <alignment horizontal="center" vertical="center"/>
    </xf>
    <xf numFmtId="3" fontId="59" fillId="0" borderId="127" xfId="0" applyNumberFormat="1" applyFont="1" applyFill="1" applyBorder="1" applyAlignment="1" applyProtection="1">
      <alignment vertical="center"/>
    </xf>
    <xf numFmtId="3" fontId="59" fillId="0" borderId="127" xfId="0" applyNumberFormat="1" applyFont="1" applyFill="1" applyBorder="1" applyAlignment="1" applyProtection="1">
      <alignment vertical="center"/>
      <protection locked="0"/>
    </xf>
    <xf numFmtId="3" fontId="65" fillId="0" borderId="127" xfId="0" applyNumberFormat="1" applyFont="1" applyFill="1" applyBorder="1" applyAlignment="1" applyProtection="1">
      <alignment horizontal="center" vertical="center"/>
    </xf>
    <xf numFmtId="3" fontId="17" fillId="0" borderId="127" xfId="0" applyNumberFormat="1" applyFont="1" applyFill="1" applyBorder="1" applyAlignment="1" applyProtection="1">
      <alignment horizontal="center" vertical="center" wrapText="1"/>
    </xf>
    <xf numFmtId="0" fontId="59" fillId="0" borderId="127" xfId="0" applyFont="1" applyFill="1" applyBorder="1" applyAlignment="1" applyProtection="1">
      <alignment horizontal="center" vertical="center"/>
    </xf>
    <xf numFmtId="0" fontId="59" fillId="0" borderId="127" xfId="0" applyFont="1" applyFill="1" applyBorder="1" applyAlignment="1" applyProtection="1">
      <alignment horizontal="right" vertical="center"/>
    </xf>
    <xf numFmtId="3" fontId="59" fillId="0" borderId="118" xfId="0" applyNumberFormat="1" applyFont="1" applyFill="1" applyBorder="1" applyAlignment="1" applyProtection="1">
      <alignment vertical="center"/>
    </xf>
    <xf numFmtId="0" fontId="32" fillId="0" borderId="126" xfId="0" applyFont="1" applyFill="1" applyBorder="1" applyAlignment="1" applyProtection="1">
      <alignment horizontal="center"/>
    </xf>
    <xf numFmtId="0" fontId="16" fillId="0" borderId="126" xfId="0" applyFont="1" applyFill="1" applyBorder="1" applyAlignment="1" applyProtection="1">
      <alignment horizontal="center" vertical="center"/>
    </xf>
    <xf numFmtId="49" fontId="32" fillId="0" borderId="126" xfId="0" applyNumberFormat="1" applyFont="1" applyFill="1" applyBorder="1" applyAlignment="1" applyProtection="1">
      <alignment horizontal="center" vertical="center" wrapText="1"/>
    </xf>
    <xf numFmtId="49" fontId="32" fillId="0" borderId="126" xfId="0" applyNumberFormat="1" applyFont="1" applyFill="1" applyBorder="1" applyAlignment="1" applyProtection="1">
      <alignment horizontal="center" vertical="center"/>
    </xf>
    <xf numFmtId="0" fontId="16" fillId="0" borderId="126" xfId="0" applyFont="1" applyFill="1" applyBorder="1" applyAlignment="1" applyProtection="1">
      <alignment horizontal="center" vertical="center" wrapText="1"/>
    </xf>
    <xf numFmtId="0" fontId="32" fillId="0" borderId="126" xfId="0" applyFont="1" applyFill="1" applyBorder="1" applyAlignment="1" applyProtection="1">
      <alignment horizontal="center" vertical="center"/>
    </xf>
    <xf numFmtId="0" fontId="0" fillId="0" borderId="126" xfId="0" applyFont="1" applyFill="1" applyBorder="1" applyAlignment="1">
      <alignment horizontal="center" vertical="distributed" wrapText="1"/>
    </xf>
    <xf numFmtId="0" fontId="32" fillId="0" borderId="186" xfId="0" applyFont="1" applyFill="1" applyBorder="1" applyAlignment="1" applyProtection="1">
      <alignment horizontal="center" vertical="center"/>
    </xf>
    <xf numFmtId="0" fontId="32" fillId="0" borderId="183" xfId="0" applyFont="1" applyFill="1" applyBorder="1" applyAlignment="1" applyProtection="1">
      <alignment vertical="center" wrapText="1"/>
    </xf>
    <xf numFmtId="0" fontId="32" fillId="0" borderId="181" xfId="0" applyFont="1" applyFill="1" applyBorder="1" applyAlignment="1" applyProtection="1">
      <alignment vertical="center" wrapText="1"/>
    </xf>
    <xf numFmtId="0" fontId="32" fillId="0" borderId="185" xfId="0" applyFont="1" applyFill="1" applyBorder="1" applyAlignment="1" applyProtection="1">
      <alignment horizontal="center" vertical="center"/>
    </xf>
    <xf numFmtId="3" fontId="59" fillId="0" borderId="184" xfId="0" applyNumberFormat="1" applyFont="1" applyFill="1" applyBorder="1" applyAlignment="1" applyProtection="1">
      <alignment vertical="center"/>
      <protection locked="0"/>
    </xf>
    <xf numFmtId="0" fontId="63" fillId="0" borderId="181" xfId="0" applyFont="1" applyFill="1" applyBorder="1" applyAlignment="1" applyProtection="1">
      <alignment vertical="center" wrapText="1"/>
    </xf>
    <xf numFmtId="0" fontId="16" fillId="0" borderId="185" xfId="0" applyFont="1" applyFill="1" applyBorder="1" applyAlignment="1" applyProtection="1">
      <alignment horizontal="center" vertical="center" wrapText="1"/>
    </xf>
    <xf numFmtId="3" fontId="17" fillId="0" borderId="184" xfId="0" applyNumberFormat="1" applyFont="1" applyFill="1" applyBorder="1" applyAlignment="1" applyProtection="1">
      <alignment horizontal="center" vertical="center"/>
    </xf>
    <xf numFmtId="3" fontId="59" fillId="0" borderId="118" xfId="0" applyNumberFormat="1" applyFont="1" applyFill="1" applyBorder="1" applyAlignment="1" applyProtection="1">
      <alignment vertical="center"/>
      <protection locked="0"/>
    </xf>
    <xf numFmtId="0" fontId="60" fillId="0" borderId="183" xfId="0" applyFont="1" applyFill="1" applyBorder="1" applyAlignment="1">
      <alignment wrapText="1"/>
    </xf>
    <xf numFmtId="0" fontId="60" fillId="0" borderId="181" xfId="0" applyFont="1" applyFill="1" applyBorder="1" applyAlignment="1">
      <alignment wrapText="1"/>
    </xf>
    <xf numFmtId="0" fontId="16" fillId="0" borderId="181" xfId="0" applyFont="1" applyFill="1" applyBorder="1" applyAlignment="1" applyProtection="1">
      <alignment vertical="center" wrapText="1"/>
    </xf>
    <xf numFmtId="0" fontId="16" fillId="0" borderId="185" xfId="0" applyFont="1" applyFill="1" applyBorder="1" applyAlignment="1" applyProtection="1">
      <alignment horizontal="center" vertical="center"/>
    </xf>
    <xf numFmtId="0" fontId="59" fillId="0" borderId="118" xfId="0" applyFont="1" applyFill="1" applyBorder="1" applyAlignment="1" applyProtection="1">
      <alignment horizontal="right" vertical="center"/>
    </xf>
    <xf numFmtId="0" fontId="59" fillId="0" borderId="184" xfId="0" applyFont="1" applyFill="1" applyBorder="1" applyAlignment="1" applyProtection="1">
      <alignment horizontal="center" vertical="center"/>
    </xf>
    <xf numFmtId="0" fontId="60" fillId="0" borderId="183" xfId="0" applyFont="1" applyFill="1" applyBorder="1" applyAlignment="1" applyProtection="1">
      <alignment vertical="top" wrapText="1"/>
      <protection locked="0"/>
    </xf>
    <xf numFmtId="0" fontId="60" fillId="0" borderId="181" xfId="0" applyFont="1" applyFill="1" applyBorder="1" applyAlignment="1" applyProtection="1">
      <alignment vertical="center" wrapText="1"/>
    </xf>
    <xf numFmtId="3" fontId="59" fillId="0" borderId="184" xfId="0" applyNumberFormat="1" applyFont="1" applyFill="1" applyBorder="1" applyAlignment="1" applyProtection="1">
      <alignment vertical="center"/>
    </xf>
    <xf numFmtId="0" fontId="79" fillId="0" borderId="0" xfId="0" applyFont="1" applyProtection="1"/>
    <xf numFmtId="0" fontId="79" fillId="0" borderId="0" xfId="31" applyFont="1" applyProtection="1"/>
    <xf numFmtId="0" fontId="79" fillId="0" borderId="0" xfId="22" applyFont="1"/>
    <xf numFmtId="0" fontId="11" fillId="0" borderId="101" xfId="0" applyFont="1" applyFill="1" applyBorder="1" applyAlignment="1">
      <alignment vertical="center" wrapText="1"/>
    </xf>
    <xf numFmtId="0" fontId="0" fillId="0" borderId="101" xfId="0" applyFill="1" applyBorder="1" applyAlignment="1">
      <alignment vertical="center" wrapText="1"/>
    </xf>
    <xf numFmtId="0" fontId="79" fillId="0" borderId="0" xfId="0" applyFont="1" applyFill="1" applyProtection="1"/>
    <xf numFmtId="0" fontId="79" fillId="0" borderId="0" xfId="25" applyFont="1" applyAlignment="1">
      <alignment horizontal="center"/>
    </xf>
    <xf numFmtId="0" fontId="29" fillId="0" borderId="0" xfId="0" applyFont="1" applyAlignment="1" applyProtection="1">
      <alignment horizontal="center"/>
    </xf>
    <xf numFmtId="0" fontId="17" fillId="0" borderId="0" xfId="0" applyFont="1" applyAlignment="1" applyProtection="1">
      <alignment horizontal="center"/>
    </xf>
    <xf numFmtId="0" fontId="79" fillId="0" borderId="0" xfId="22" applyFont="1" applyProtection="1"/>
    <xf numFmtId="3" fontId="28" fillId="18" borderId="0" xfId="0" applyNumberFormat="1" applyFont="1" applyFill="1" applyAlignment="1" applyProtection="1">
      <alignment horizontal="center"/>
    </xf>
    <xf numFmtId="0" fontId="170" fillId="0" borderId="0" xfId="0" applyFont="1" applyFill="1" applyProtection="1"/>
    <xf numFmtId="0" fontId="171" fillId="0" borderId="0" xfId="0" applyFont="1" applyFill="1" applyBorder="1" applyAlignment="1">
      <alignment horizontal="left" wrapText="1"/>
    </xf>
    <xf numFmtId="3" fontId="173" fillId="0" borderId="0" xfId="0" applyNumberFormat="1" applyFont="1" applyFill="1" applyAlignment="1" applyProtection="1">
      <alignment horizontal="center"/>
    </xf>
    <xf numFmtId="0" fontId="32" fillId="0" borderId="99" xfId="0" applyFont="1" applyFill="1" applyBorder="1" applyAlignment="1" applyProtection="1">
      <alignment horizontal="center" vertical="center"/>
    </xf>
    <xf numFmtId="0" fontId="16" fillId="0" borderId="187" xfId="0" applyFont="1" applyFill="1" applyBorder="1" applyAlignment="1" applyProtection="1">
      <alignment horizontal="left"/>
    </xf>
    <xf numFmtId="0" fontId="32" fillId="0" borderId="170" xfId="0" applyFont="1" applyFill="1" applyBorder="1" applyAlignment="1" applyProtection="1">
      <alignment horizontal="center"/>
    </xf>
    <xf numFmtId="3" fontId="59" fillId="0" borderId="163" xfId="0" applyNumberFormat="1" applyFont="1" applyFill="1" applyBorder="1" applyProtection="1"/>
    <xf numFmtId="3" fontId="59" fillId="0" borderId="102" xfId="0" applyNumberFormat="1" applyFont="1" applyFill="1" applyBorder="1" applyAlignment="1" applyProtection="1">
      <alignment horizontal="right" vertical="center"/>
    </xf>
    <xf numFmtId="0" fontId="32" fillId="0" borderId="101" xfId="0" applyFont="1" applyFill="1" applyBorder="1" applyAlignment="1" applyProtection="1">
      <alignment horizontal="center" vertical="center"/>
    </xf>
    <xf numFmtId="3" fontId="59" fillId="0" borderId="103" xfId="0" applyNumberFormat="1" applyFont="1" applyFill="1" applyBorder="1" applyAlignment="1" applyProtection="1">
      <alignment horizontal="right" vertical="center"/>
    </xf>
    <xf numFmtId="0" fontId="16" fillId="0" borderId="101" xfId="0" applyFont="1" applyFill="1" applyBorder="1" applyAlignment="1" applyProtection="1">
      <alignment horizontal="center" vertical="center"/>
    </xf>
    <xf numFmtId="3" fontId="17" fillId="0" borderId="103" xfId="0" applyNumberFormat="1" applyFont="1" applyFill="1" applyBorder="1" applyAlignment="1" applyProtection="1">
      <alignment horizontal="right" vertical="center"/>
    </xf>
    <xf numFmtId="3" fontId="59" fillId="0" borderId="103" xfId="0" applyNumberFormat="1" applyFont="1" applyFill="1" applyBorder="1" applyAlignment="1" applyProtection="1">
      <alignment horizontal="right" vertical="center"/>
      <protection locked="0"/>
    </xf>
    <xf numFmtId="0" fontId="16" fillId="0" borderId="101" xfId="0" applyFont="1" applyFill="1" applyBorder="1" applyAlignment="1" applyProtection="1">
      <alignment horizontal="center" vertical="center" wrapText="1"/>
    </xf>
    <xf numFmtId="0" fontId="32" fillId="0" borderId="101" xfId="0" applyFont="1" applyFill="1" applyBorder="1" applyAlignment="1" applyProtection="1">
      <alignment horizontal="center" vertical="center" wrapText="1"/>
    </xf>
    <xf numFmtId="0" fontId="32" fillId="0" borderId="188" xfId="0" applyFont="1" applyFill="1" applyBorder="1" applyAlignment="1" applyProtection="1">
      <alignment horizontal="center" vertical="center" wrapText="1"/>
    </xf>
    <xf numFmtId="3" fontId="59" fillId="0" borderId="189" xfId="0" applyNumberFormat="1" applyFont="1" applyFill="1" applyBorder="1" applyAlignment="1" applyProtection="1">
      <alignment horizontal="right" vertical="center"/>
    </xf>
    <xf numFmtId="0" fontId="32" fillId="0" borderId="190" xfId="0" applyFont="1" applyFill="1" applyBorder="1" applyAlignment="1" applyProtection="1">
      <alignment horizontal="center" vertical="center" wrapText="1"/>
    </xf>
    <xf numFmtId="3" fontId="59" fillId="0" borderId="191" xfId="0" applyNumberFormat="1" applyFont="1" applyFill="1" applyBorder="1" applyAlignment="1" applyProtection="1">
      <alignment horizontal="right" vertical="center"/>
      <protection locked="0"/>
    </xf>
    <xf numFmtId="3" fontId="65" fillId="0" borderId="103" xfId="0" applyNumberFormat="1" applyFont="1" applyFill="1" applyBorder="1" applyAlignment="1" applyProtection="1">
      <alignment horizontal="right" vertical="center"/>
      <protection locked="0"/>
    </xf>
    <xf numFmtId="0" fontId="32" fillId="0" borderId="188" xfId="0" applyFont="1" applyFill="1" applyBorder="1" applyAlignment="1" applyProtection="1">
      <alignment horizontal="center" vertical="center"/>
    </xf>
    <xf numFmtId="0" fontId="16" fillId="0" borderId="190" xfId="0" applyFont="1" applyFill="1" applyBorder="1" applyAlignment="1" applyProtection="1">
      <alignment horizontal="center" vertical="center"/>
    </xf>
    <xf numFmtId="3" fontId="17" fillId="0" borderId="191" xfId="0" applyNumberFormat="1" applyFont="1" applyFill="1" applyBorder="1" applyAlignment="1" applyProtection="1">
      <alignment horizontal="right" vertical="center"/>
    </xf>
    <xf numFmtId="3" fontId="59" fillId="0" borderId="189" xfId="0" applyNumberFormat="1" applyFont="1" applyFill="1" applyBorder="1" applyAlignment="1" applyProtection="1">
      <alignment horizontal="right" vertical="center"/>
      <protection locked="0"/>
    </xf>
    <xf numFmtId="0" fontId="32" fillId="0" borderId="190" xfId="0" applyFont="1" applyFill="1" applyBorder="1" applyAlignment="1" applyProtection="1">
      <alignment horizontal="center" vertical="center"/>
    </xf>
    <xf numFmtId="3" fontId="59" fillId="0" borderId="169" xfId="0" applyNumberFormat="1" applyFont="1" applyFill="1" applyBorder="1" applyAlignment="1" applyProtection="1">
      <alignment vertical="center"/>
    </xf>
    <xf numFmtId="0" fontId="16" fillId="0" borderId="188" xfId="0" applyFont="1" applyFill="1" applyBorder="1" applyAlignment="1" applyProtection="1">
      <alignment horizontal="center" vertical="center"/>
    </xf>
    <xf numFmtId="3" fontId="59" fillId="0" borderId="191" xfId="0" applyNumberFormat="1" applyFont="1" applyFill="1" applyBorder="1" applyAlignment="1" applyProtection="1">
      <alignment horizontal="right" vertical="center"/>
    </xf>
    <xf numFmtId="0" fontId="32" fillId="0" borderId="141" xfId="0" applyFont="1" applyFill="1" applyBorder="1" applyAlignment="1" applyProtection="1">
      <alignment horizontal="center" vertical="center"/>
    </xf>
    <xf numFmtId="0" fontId="16" fillId="0" borderId="192" xfId="0" applyFont="1" applyFill="1" applyBorder="1" applyAlignment="1" applyProtection="1">
      <alignment vertical="center" wrapText="1"/>
    </xf>
    <xf numFmtId="0" fontId="32" fillId="0" borderId="171" xfId="0" applyFont="1" applyFill="1" applyBorder="1" applyAlignment="1" applyProtection="1">
      <alignment horizontal="center" vertical="center"/>
    </xf>
    <xf numFmtId="3" fontId="59" fillId="0" borderId="164" xfId="0" applyNumberFormat="1" applyFont="1" applyFill="1" applyBorder="1" applyAlignment="1" applyProtection="1">
      <alignment vertical="center"/>
    </xf>
    <xf numFmtId="3" fontId="59" fillId="0" borderId="105" xfId="0" applyNumberFormat="1" applyFont="1" applyFill="1" applyBorder="1" applyAlignment="1" applyProtection="1">
      <alignment horizontal="right" vertical="center"/>
    </xf>
    <xf numFmtId="3" fontId="0" fillId="0" borderId="103" xfId="0" applyNumberFormat="1" applyFill="1" applyBorder="1" applyAlignment="1" applyProtection="1">
      <alignment vertical="center"/>
    </xf>
    <xf numFmtId="3" fontId="12" fillId="0" borderId="0" xfId="49" applyNumberFormat="1" applyFont="1" applyFill="1" applyBorder="1" applyProtection="1">
      <protection locked="0"/>
    </xf>
    <xf numFmtId="3" fontId="175" fillId="0" borderId="0" xfId="0" applyNumberFormat="1" applyFont="1" applyFill="1" applyProtection="1"/>
    <xf numFmtId="0" fontId="12" fillId="0" borderId="193" xfId="22" applyBorder="1" applyAlignment="1" applyProtection="1">
      <alignment horizontal="center"/>
    </xf>
    <xf numFmtId="0" fontId="12" fillId="0" borderId="194" xfId="22" applyBorder="1" applyProtection="1"/>
    <xf numFmtId="0" fontId="12" fillId="0" borderId="154" xfId="22" applyBorder="1" applyProtection="1"/>
    <xf numFmtId="0" fontId="12" fillId="0" borderId="161" xfId="22" applyBorder="1" applyProtection="1"/>
    <xf numFmtId="3" fontId="89" fillId="0" borderId="90" xfId="39" applyNumberFormat="1" applyFont="1" applyFill="1" applyBorder="1" applyAlignment="1" applyProtection="1">
      <alignment vertical="top" wrapText="1"/>
    </xf>
    <xf numFmtId="3" fontId="89" fillId="0" borderId="106" xfId="39" applyNumberFormat="1" applyFont="1" applyFill="1" applyBorder="1" applyAlignment="1" applyProtection="1">
      <alignment vertical="top" wrapText="1"/>
    </xf>
    <xf numFmtId="0" fontId="12" fillId="0" borderId="195" xfId="22" applyBorder="1" applyProtection="1"/>
    <xf numFmtId="3" fontId="89" fillId="0" borderId="196" xfId="39" applyNumberFormat="1" applyFont="1" applyFill="1" applyBorder="1" applyAlignment="1" applyProtection="1">
      <alignment vertical="top" wrapText="1"/>
    </xf>
    <xf numFmtId="3" fontId="89" fillId="0" borderId="197" xfId="39" applyNumberFormat="1" applyFont="1" applyFill="1" applyBorder="1" applyAlignment="1" applyProtection="1">
      <alignment vertical="top" wrapText="1"/>
    </xf>
    <xf numFmtId="0" fontId="12" fillId="0" borderId="161" xfId="22" applyBorder="1" applyAlignment="1" applyProtection="1">
      <alignment horizontal="center"/>
    </xf>
    <xf numFmtId="0" fontId="12" fillId="0" borderId="90" xfId="22" applyBorder="1" applyProtection="1"/>
    <xf numFmtId="0" fontId="12" fillId="0" borderId="106" xfId="22" applyBorder="1" applyProtection="1"/>
    <xf numFmtId="3" fontId="12" fillId="0" borderId="161" xfId="22" applyNumberFormat="1" applyFont="1" applyBorder="1" applyProtection="1"/>
    <xf numFmtId="3" fontId="12" fillId="0" borderId="90" xfId="22" applyNumberFormat="1" applyBorder="1" applyProtection="1"/>
    <xf numFmtId="3" fontId="12" fillId="0" borderId="106" xfId="22" applyNumberFormat="1" applyBorder="1" applyProtection="1"/>
    <xf numFmtId="3" fontId="12" fillId="0" borderId="161" xfId="22" applyNumberFormat="1" applyBorder="1" applyAlignment="1" applyProtection="1">
      <alignment horizontal="center"/>
    </xf>
    <xf numFmtId="3" fontId="27" fillId="0" borderId="161" xfId="22" applyNumberFormat="1" applyFont="1" applyBorder="1" applyProtection="1"/>
    <xf numFmtId="0" fontId="31" fillId="0" borderId="161" xfId="22" applyFont="1" applyBorder="1" applyProtection="1"/>
    <xf numFmtId="0" fontId="12" fillId="0" borderId="90" xfId="22" applyFont="1" applyBorder="1" applyProtection="1"/>
    <xf numFmtId="0" fontId="12" fillId="0" borderId="106" xfId="22" applyFont="1" applyBorder="1" applyProtection="1"/>
    <xf numFmtId="0" fontId="31" fillId="0" borderId="107" xfId="22" applyFont="1" applyFill="1" applyBorder="1" applyProtection="1"/>
    <xf numFmtId="0" fontId="31" fillId="0" borderId="161" xfId="22" applyFont="1" applyFill="1" applyBorder="1" applyProtection="1"/>
    <xf numFmtId="3" fontId="12" fillId="0" borderId="198" xfId="22" applyNumberFormat="1" applyBorder="1" applyAlignment="1" applyProtection="1">
      <alignment horizontal="center"/>
    </xf>
    <xf numFmtId="3" fontId="12" fillId="0" borderId="196" xfId="22" applyNumberFormat="1" applyBorder="1" applyProtection="1"/>
    <xf numFmtId="3" fontId="12" fillId="0" borderId="197" xfId="22" applyNumberFormat="1" applyBorder="1" applyProtection="1"/>
    <xf numFmtId="0" fontId="31" fillId="0" borderId="175" xfId="22" applyFont="1" applyBorder="1" applyAlignment="1" applyProtection="1">
      <alignment horizontal="center" vertical="center" wrapText="1"/>
    </xf>
    <xf numFmtId="0" fontId="31" fillId="0" borderId="199" xfId="22" applyFont="1" applyBorder="1" applyAlignment="1" applyProtection="1">
      <alignment horizontal="center" vertical="center" wrapText="1"/>
    </xf>
    <xf numFmtId="0" fontId="31" fillId="0" borderId="200" xfId="22" applyFont="1" applyBorder="1" applyAlignment="1" applyProtection="1">
      <alignment horizontal="center" vertical="center" wrapText="1"/>
    </xf>
    <xf numFmtId="3" fontId="41" fillId="0" borderId="101" xfId="0" applyNumberFormat="1" applyFont="1" applyFill="1" applyBorder="1" applyAlignment="1" applyProtection="1">
      <alignment vertical="center" wrapText="1"/>
    </xf>
    <xf numFmtId="3" fontId="48" fillId="0" borderId="91" xfId="0" applyNumberFormat="1" applyFont="1" applyFill="1" applyBorder="1" applyAlignment="1" applyProtection="1">
      <alignment vertical="center"/>
    </xf>
    <xf numFmtId="3" fontId="58" fillId="0" borderId="0" xfId="36" applyNumberFormat="1" applyFont="1" applyFill="1" applyAlignment="1" applyProtection="1">
      <alignment vertical="center"/>
    </xf>
    <xf numFmtId="3" fontId="58" fillId="0" borderId="0" xfId="36" applyNumberFormat="1" applyFont="1" applyFill="1" applyProtection="1"/>
    <xf numFmtId="3" fontId="25" fillId="0" borderId="8" xfId="0" applyNumberFormat="1" applyFont="1" applyFill="1" applyBorder="1" applyAlignment="1" applyProtection="1">
      <alignment vertical="center" wrapText="1"/>
    </xf>
    <xf numFmtId="2" fontId="25" fillId="0" borderId="10" xfId="0" applyNumberFormat="1" applyFont="1" applyFill="1" applyBorder="1" applyAlignment="1" applyProtection="1">
      <alignment vertical="top" wrapText="1"/>
    </xf>
    <xf numFmtId="2" fontId="25" fillId="0" borderId="13" xfId="0" applyNumberFormat="1" applyFont="1" applyFill="1" applyBorder="1" applyAlignment="1" applyProtection="1">
      <alignment vertical="top" wrapText="1"/>
    </xf>
    <xf numFmtId="3" fontId="25" fillId="0" borderId="8" xfId="0" applyNumberFormat="1" applyFont="1" applyFill="1" applyBorder="1" applyAlignment="1" applyProtection="1">
      <alignment horizontal="right" vertical="center" wrapText="1"/>
    </xf>
    <xf numFmtId="0" fontId="29" fillId="0" borderId="0" xfId="0" applyFont="1" applyBorder="1" applyAlignment="1" applyProtection="1">
      <alignment horizontal="center"/>
    </xf>
    <xf numFmtId="0" fontId="79" fillId="0" borderId="0" xfId="0" applyFont="1" applyAlignment="1" applyProtection="1">
      <alignment horizontal="center"/>
    </xf>
    <xf numFmtId="0" fontId="41" fillId="0" borderId="0" xfId="0" applyFont="1" applyFill="1" applyAlignment="1" applyProtection="1">
      <alignment horizontal="center"/>
    </xf>
    <xf numFmtId="0" fontId="63" fillId="0" borderId="0" xfId="0" applyFont="1" applyAlignment="1" applyProtection="1">
      <alignment horizontal="center"/>
    </xf>
    <xf numFmtId="0" fontId="29" fillId="0" borderId="0" xfId="0" applyFont="1" applyAlignment="1" applyProtection="1">
      <alignment horizontal="center"/>
    </xf>
    <xf numFmtId="0" fontId="31" fillId="0" borderId="104" xfId="0" applyFont="1" applyBorder="1" applyAlignment="1" applyProtection="1">
      <alignment horizontal="center" vertical="center" wrapText="1"/>
    </xf>
    <xf numFmtId="0" fontId="41" fillId="0" borderId="0" xfId="0" applyFont="1" applyAlignment="1" applyProtection="1">
      <alignment horizontal="center"/>
    </xf>
    <xf numFmtId="0" fontId="31" fillId="0" borderId="97" xfId="0" applyFont="1" applyFill="1" applyBorder="1" applyAlignment="1" applyProtection="1">
      <alignment horizontal="center" vertical="center" wrapText="1"/>
    </xf>
    <xf numFmtId="0" fontId="0" fillId="0" borderId="0" xfId="0" applyFont="1" applyFill="1" applyAlignment="1" applyProtection="1">
      <alignment horizontal="center"/>
    </xf>
    <xf numFmtId="3" fontId="11" fillId="0" borderId="101" xfId="0" applyNumberFormat="1" applyFont="1" applyFill="1" applyBorder="1" applyAlignment="1" applyProtection="1">
      <alignment vertical="center"/>
    </xf>
    <xf numFmtId="3" fontId="11" fillId="0" borderId="141" xfId="0" applyNumberFormat="1" applyFont="1" applyFill="1" applyBorder="1" applyAlignment="1" applyProtection="1">
      <alignment vertical="center"/>
    </xf>
    <xf numFmtId="3" fontId="24" fillId="0" borderId="104" xfId="0" applyNumberFormat="1" applyFont="1" applyFill="1" applyBorder="1" applyAlignment="1" applyProtection="1">
      <alignment vertical="center"/>
    </xf>
    <xf numFmtId="3" fontId="16" fillId="12" borderId="103" xfId="0" applyNumberFormat="1" applyFont="1" applyFill="1" applyBorder="1" applyAlignment="1" applyProtection="1">
      <alignment horizontal="right" vertical="center"/>
    </xf>
    <xf numFmtId="3" fontId="16" fillId="0" borderId="103" xfId="0" applyNumberFormat="1" applyFont="1" applyBorder="1" applyAlignment="1" applyProtection="1">
      <alignment horizontal="right" vertical="center"/>
    </xf>
    <xf numFmtId="0" fontId="79" fillId="0" borderId="0" xfId="0" applyFont="1" applyAlignment="1" applyProtection="1">
      <alignment horizontal="center"/>
      <protection locked="0"/>
    </xf>
    <xf numFmtId="0" fontId="26" fillId="0" borderId="0" xfId="0" applyFont="1" applyFill="1" applyAlignment="1" applyProtection="1">
      <alignment horizontal="center"/>
    </xf>
    <xf numFmtId="3" fontId="79" fillId="0" borderId="0" xfId="0" applyNumberFormat="1" applyFont="1" applyFill="1" applyAlignment="1" applyProtection="1">
      <alignment horizontal="center"/>
    </xf>
    <xf numFmtId="1" fontId="26" fillId="0" borderId="0" xfId="0" applyNumberFormat="1" applyFont="1" applyFill="1" applyAlignment="1" applyProtection="1">
      <alignment horizontal="center"/>
      <protection locked="0"/>
    </xf>
    <xf numFmtId="1" fontId="26" fillId="0" borderId="0" xfId="0" applyNumberFormat="1" applyFont="1" applyAlignment="1" applyProtection="1">
      <alignment horizontal="center"/>
      <protection locked="0"/>
    </xf>
    <xf numFmtId="2" fontId="26" fillId="0" borderId="0" xfId="0" applyNumberFormat="1" applyFont="1" applyAlignment="1" applyProtection="1">
      <alignment horizontal="center"/>
    </xf>
    <xf numFmtId="0" fontId="63" fillId="0" borderId="0" xfId="0" applyFont="1" applyAlignment="1" applyProtection="1">
      <alignment horizontal="center"/>
    </xf>
    <xf numFmtId="0" fontId="26" fillId="0" borderId="0" xfId="0" applyFont="1" applyAlignment="1" applyProtection="1">
      <alignment horizontal="center"/>
    </xf>
    <xf numFmtId="0" fontId="26" fillId="0" borderId="0" xfId="22" applyFont="1" applyAlignment="1" applyProtection="1">
      <alignment horizontal="center"/>
    </xf>
    <xf numFmtId="0" fontId="26" fillId="0" borderId="0" xfId="0" applyFont="1" applyAlignment="1" applyProtection="1">
      <alignment horizontal="center"/>
      <protection locked="0"/>
    </xf>
    <xf numFmtId="0" fontId="26" fillId="0" borderId="0" xfId="0" applyFont="1" applyFill="1" applyBorder="1" applyAlignment="1" applyProtection="1">
      <alignment horizontal="center"/>
    </xf>
    <xf numFmtId="0" fontId="26" fillId="0" borderId="0" xfId="0" applyFont="1" applyFill="1" applyAlignment="1" applyProtection="1">
      <alignment horizontal="center"/>
    </xf>
    <xf numFmtId="2" fontId="26" fillId="0" borderId="0" xfId="0" applyNumberFormat="1" applyFont="1" applyAlignment="1" applyProtection="1">
      <alignment horizontal="center"/>
    </xf>
    <xf numFmtId="0" fontId="26" fillId="0" borderId="0" xfId="0" applyFont="1" applyAlignment="1" applyProtection="1">
      <alignment horizontal="center"/>
    </xf>
    <xf numFmtId="0" fontId="29" fillId="0" borderId="0" xfId="36" applyFont="1" applyFill="1" applyAlignment="1" applyProtection="1">
      <alignment horizontal="center"/>
    </xf>
    <xf numFmtId="2" fontId="29" fillId="0" borderId="0" xfId="35" applyNumberFormat="1" applyFont="1" applyFill="1" applyBorder="1" applyAlignment="1" applyProtection="1">
      <alignment horizontal="center"/>
    </xf>
    <xf numFmtId="0" fontId="26" fillId="0" borderId="0" xfId="0" applyFont="1" applyFill="1" applyAlignment="1" applyProtection="1">
      <alignment horizontal="center"/>
      <protection locked="0"/>
    </xf>
    <xf numFmtId="0" fontId="26" fillId="0" borderId="0" xfId="22" applyFont="1" applyAlignment="1">
      <alignment horizontal="center"/>
    </xf>
    <xf numFmtId="0" fontId="17" fillId="0" borderId="0" xfId="0" applyFont="1" applyAlignment="1">
      <alignment horizontal="center" vertical="center" wrapText="1"/>
    </xf>
    <xf numFmtId="0" fontId="26" fillId="0" borderId="0" xfId="25" applyFont="1" applyAlignment="1" applyProtection="1">
      <alignment horizontal="center"/>
    </xf>
    <xf numFmtId="0" fontId="79" fillId="0" borderId="0" xfId="0" applyFont="1" applyFill="1" applyProtection="1">
      <protection locked="0"/>
    </xf>
    <xf numFmtId="1" fontId="72" fillId="0" borderId="0" xfId="0" applyNumberFormat="1" applyFont="1" applyFill="1" applyProtection="1">
      <protection locked="0"/>
    </xf>
    <xf numFmtId="1" fontId="12" fillId="0" borderId="0" xfId="0" applyNumberFormat="1" applyFont="1" applyProtection="1"/>
    <xf numFmtId="0" fontId="26" fillId="0" borderId="0" xfId="0" applyFont="1" applyProtection="1">
      <protection locked="0"/>
    </xf>
    <xf numFmtId="3" fontId="72" fillId="0" borderId="0" xfId="0" applyNumberFormat="1" applyFont="1" applyProtection="1"/>
    <xf numFmtId="3" fontId="12" fillId="0" borderId="0" xfId="0" applyNumberFormat="1" applyFont="1" applyProtection="1"/>
    <xf numFmtId="0" fontId="79" fillId="0" borderId="0" xfId="0" applyFont="1" applyAlignment="1" applyProtection="1">
      <protection locked="0"/>
    </xf>
    <xf numFmtId="0" fontId="79" fillId="0" borderId="0" xfId="0" applyFont="1" applyFill="1" applyAlignment="1" applyProtection="1"/>
    <xf numFmtId="2" fontId="26" fillId="0" borderId="0" xfId="22" applyNumberFormat="1" applyFont="1" applyAlignment="1" applyProtection="1">
      <alignment horizontal="center"/>
    </xf>
    <xf numFmtId="2" fontId="26" fillId="0" borderId="0" xfId="0" applyNumberFormat="1" applyFont="1" applyAlignment="1" applyProtection="1">
      <alignment horizontal="center"/>
      <protection locked="0"/>
    </xf>
    <xf numFmtId="0" fontId="26" fillId="0" borderId="0" xfId="37" applyFont="1" applyFill="1" applyBorder="1" applyAlignment="1" applyProtection="1">
      <alignment vertical="center" wrapText="1"/>
    </xf>
    <xf numFmtId="4" fontId="26" fillId="0" borderId="0" xfId="37" applyNumberFormat="1" applyFont="1" applyFill="1" applyBorder="1" applyAlignment="1" applyProtection="1"/>
    <xf numFmtId="4" fontId="79" fillId="0" borderId="0" xfId="37" applyNumberFormat="1" applyFont="1" applyFill="1" applyBorder="1" applyAlignment="1" applyProtection="1"/>
    <xf numFmtId="0" fontId="26" fillId="0" borderId="0" xfId="37" applyFont="1" applyFill="1" applyBorder="1" applyProtection="1"/>
    <xf numFmtId="4" fontId="26" fillId="0" borderId="0" xfId="37" applyNumberFormat="1" applyFont="1" applyFill="1" applyBorder="1" applyProtection="1"/>
    <xf numFmtId="0" fontId="79" fillId="0" borderId="0" xfId="25" applyFont="1" applyAlignment="1"/>
    <xf numFmtId="2" fontId="26" fillId="0" borderId="0" xfId="0" applyNumberFormat="1" applyFont="1" applyFill="1" applyAlignment="1" applyProtection="1">
      <alignment horizontal="center"/>
    </xf>
    <xf numFmtId="1" fontId="26" fillId="0" borderId="0" xfId="0" applyNumberFormat="1" applyFont="1" applyFill="1" applyProtection="1">
      <protection locked="0"/>
    </xf>
    <xf numFmtId="1" fontId="72" fillId="0" borderId="0" xfId="0" applyNumberFormat="1" applyFont="1" applyProtection="1">
      <protection locked="0"/>
    </xf>
    <xf numFmtId="1" fontId="26" fillId="0" borderId="0" xfId="0" applyNumberFormat="1" applyFont="1" applyProtection="1">
      <protection locked="0"/>
    </xf>
    <xf numFmtId="0" fontId="79" fillId="0" borderId="0" xfId="0" applyFont="1" applyAlignment="1" applyProtection="1"/>
    <xf numFmtId="0" fontId="56" fillId="0" borderId="0" xfId="0" applyFont="1" applyBorder="1" applyAlignment="1" applyProtection="1"/>
    <xf numFmtId="0" fontId="177" fillId="0" borderId="0" xfId="0" applyFont="1" applyAlignment="1" applyProtection="1">
      <alignment horizontal="center"/>
    </xf>
    <xf numFmtId="0" fontId="12" fillId="0" borderId="0" xfId="0" applyFont="1" applyFill="1" applyAlignment="1" applyProtection="1">
      <alignment horizontal="center"/>
    </xf>
    <xf numFmtId="0" fontId="26" fillId="0" borderId="0" xfId="36" applyFont="1" applyFill="1" applyBorder="1" applyAlignment="1" applyProtection="1"/>
    <xf numFmtId="0" fontId="56" fillId="0" borderId="0" xfId="0" applyFont="1" applyFill="1" applyProtection="1">
      <protection locked="0"/>
    </xf>
    <xf numFmtId="2" fontId="26" fillId="0" borderId="0" xfId="36" applyNumberFormat="1" applyFont="1" applyFill="1" applyAlignment="1" applyProtection="1">
      <alignment horizontal="center"/>
    </xf>
    <xf numFmtId="0" fontId="26" fillId="0" borderId="0" xfId="36" applyFont="1" applyFill="1" applyAlignment="1" applyProtection="1">
      <alignment horizontal="center"/>
    </xf>
    <xf numFmtId="0" fontId="16" fillId="0" borderId="0" xfId="22" applyFont="1" applyFill="1" applyAlignment="1" applyProtection="1"/>
    <xf numFmtId="0" fontId="16" fillId="0" borderId="0" xfId="36" applyFont="1" applyFill="1" applyAlignment="1" applyProtection="1">
      <protection locked="0"/>
    </xf>
    <xf numFmtId="0" fontId="41" fillId="0" borderId="0" xfId="36" applyFont="1" applyFill="1" applyAlignment="1" applyProtection="1"/>
    <xf numFmtId="0" fontId="26" fillId="0" borderId="0" xfId="36" applyFont="1" applyFill="1" applyProtection="1"/>
    <xf numFmtId="0" fontId="26" fillId="0" borderId="0" xfId="35" applyFont="1" applyFill="1" applyAlignment="1" applyProtection="1"/>
    <xf numFmtId="0" fontId="31" fillId="0" borderId="0" xfId="0" applyFont="1" applyFill="1" applyBorder="1" applyAlignment="1" applyProtection="1"/>
    <xf numFmtId="0" fontId="26" fillId="0" borderId="0" xfId="35" applyFont="1" applyFill="1" applyProtection="1"/>
    <xf numFmtId="0" fontId="12" fillId="0" borderId="0" xfId="35" applyFont="1" applyFill="1" applyProtection="1"/>
    <xf numFmtId="0" fontId="178" fillId="0" borderId="0" xfId="0" applyFont="1" applyAlignment="1" applyProtection="1"/>
    <xf numFmtId="0" fontId="17" fillId="0" borderId="0" xfId="35" applyFont="1" applyFill="1" applyAlignment="1" applyProtection="1"/>
    <xf numFmtId="2" fontId="26" fillId="0" borderId="0" xfId="35" applyNumberFormat="1" applyFont="1" applyFill="1" applyAlignment="1" applyProtection="1"/>
    <xf numFmtId="0" fontId="79" fillId="0" borderId="0" xfId="0" applyFont="1" applyBorder="1" applyAlignment="1" applyProtection="1"/>
    <xf numFmtId="0" fontId="179" fillId="0" borderId="0" xfId="39" applyFont="1" applyFill="1" applyBorder="1" applyAlignment="1" applyProtection="1">
      <alignment horizontal="center" vertical="top" wrapText="1"/>
    </xf>
    <xf numFmtId="0" fontId="26" fillId="0" borderId="0" xfId="22" applyFont="1" applyProtection="1"/>
    <xf numFmtId="0" fontId="74" fillId="0" borderId="0" xfId="22" applyFont="1" applyProtection="1"/>
    <xf numFmtId="0" fontId="12" fillId="0" borderId="0" xfId="22" applyFont="1" applyAlignment="1" applyProtection="1"/>
    <xf numFmtId="49" fontId="26" fillId="0" borderId="0" xfId="22" applyNumberFormat="1" applyFont="1" applyBorder="1" applyAlignment="1" applyProtection="1">
      <alignment vertical="center" wrapText="1"/>
    </xf>
    <xf numFmtId="49" fontId="26" fillId="0" borderId="0" xfId="22" applyNumberFormat="1" applyFont="1" applyFill="1" applyBorder="1" applyProtection="1"/>
    <xf numFmtId="2" fontId="65" fillId="0" borderId="0" xfId="39" applyNumberFormat="1" applyFont="1" applyBorder="1" applyAlignment="1" applyProtection="1">
      <alignment vertical="top" wrapText="1"/>
    </xf>
    <xf numFmtId="49" fontId="26" fillId="0" borderId="0" xfId="22" applyNumberFormat="1" applyFont="1" applyBorder="1" applyAlignment="1" applyProtection="1">
      <alignment horizontal="center" vertical="center" wrapText="1"/>
    </xf>
    <xf numFmtId="0" fontId="26" fillId="0" borderId="0" xfId="22" applyFont="1" applyBorder="1" applyProtection="1"/>
    <xf numFmtId="0" fontId="181" fillId="0" borderId="0" xfId="71" applyFont="1"/>
    <xf numFmtId="0" fontId="180" fillId="0" borderId="0" xfId="71" applyFont="1" applyProtection="1">
      <protection locked="0"/>
    </xf>
    <xf numFmtId="0" fontId="183" fillId="0" borderId="0" xfId="71" applyFont="1" applyProtection="1">
      <protection locked="0"/>
    </xf>
    <xf numFmtId="0" fontId="186" fillId="0" borderId="0" xfId="71" applyFont="1"/>
    <xf numFmtId="0" fontId="26" fillId="0" borderId="0" xfId="31" applyFont="1" applyProtection="1"/>
    <xf numFmtId="2" fontId="26" fillId="0" borderId="0" xfId="22" applyNumberFormat="1" applyFont="1" applyAlignment="1">
      <alignment horizontal="center"/>
    </xf>
    <xf numFmtId="0" fontId="17" fillId="0" borderId="0" xfId="0" applyFont="1" applyAlignment="1">
      <alignment vertical="center" wrapText="1"/>
    </xf>
    <xf numFmtId="2" fontId="26" fillId="0" borderId="0" xfId="0" applyNumberFormat="1" applyFont="1" applyAlignment="1">
      <alignment horizontal="center" vertical="center" wrapText="1"/>
    </xf>
    <xf numFmtId="0" fontId="26" fillId="0" borderId="0" xfId="0" applyFont="1" applyAlignment="1">
      <alignment horizontal="center" vertical="center" wrapText="1"/>
    </xf>
    <xf numFmtId="2" fontId="86" fillId="0" borderId="0" xfId="38" applyNumberFormat="1" applyFont="1" applyFill="1" applyAlignment="1" applyProtection="1">
      <alignment horizontal="center" vertical="center" wrapText="1"/>
    </xf>
    <xf numFmtId="0" fontId="86" fillId="0" borderId="0" xfId="38" applyFont="1" applyFill="1" applyAlignment="1" applyProtection="1">
      <alignment horizontal="center" vertical="center" wrapText="1"/>
    </xf>
    <xf numFmtId="0" fontId="187" fillId="0" borderId="0" xfId="0" applyFont="1" applyFill="1" applyAlignment="1" applyProtection="1">
      <alignment horizontal="center"/>
      <protection locked="0"/>
    </xf>
    <xf numFmtId="2" fontId="26" fillId="0" borderId="0" xfId="0" applyNumberFormat="1" applyFont="1" applyFill="1" applyAlignment="1" applyProtection="1">
      <alignment horizontal="center"/>
      <protection locked="0"/>
    </xf>
    <xf numFmtId="0" fontId="26" fillId="0" borderId="0" xfId="0" applyFont="1" applyFill="1" applyAlignment="1" applyProtection="1">
      <alignment horizontal="center" vertical="center"/>
    </xf>
    <xf numFmtId="0" fontId="26" fillId="0" borderId="0" xfId="25" applyFont="1" applyFill="1" applyAlignment="1">
      <alignment vertical="center"/>
    </xf>
    <xf numFmtId="3" fontId="26" fillId="0" borderId="0" xfId="0" applyNumberFormat="1" applyFont="1" applyFill="1"/>
    <xf numFmtId="3" fontId="26" fillId="0" borderId="0" xfId="0" applyNumberFormat="1" applyFont="1" applyFill="1" applyProtection="1"/>
    <xf numFmtId="0" fontId="12" fillId="0" borderId="0" xfId="0" applyFont="1" applyFill="1" applyProtection="1">
      <protection locked="0"/>
    </xf>
    <xf numFmtId="0" fontId="72" fillId="0" borderId="0" xfId="25" applyFont="1" applyAlignment="1" applyProtection="1">
      <alignment horizontal="center"/>
    </xf>
    <xf numFmtId="0" fontId="72" fillId="0" borderId="0" xfId="25" applyFont="1" applyProtection="1"/>
    <xf numFmtId="0" fontId="26" fillId="0" borderId="0" xfId="25" applyFont="1" applyAlignment="1" applyProtection="1">
      <alignment horizontal="center" vertical="center" wrapText="1"/>
    </xf>
    <xf numFmtId="2" fontId="26" fillId="0" borderId="0" xfId="25" applyNumberFormat="1" applyFont="1" applyAlignment="1">
      <alignment horizontal="center" vertical="center" wrapText="1"/>
    </xf>
    <xf numFmtId="0" fontId="26" fillId="0" borderId="0" xfId="25" applyFont="1" applyAlignment="1">
      <alignment horizontal="center" vertical="center" wrapText="1"/>
    </xf>
    <xf numFmtId="2" fontId="165" fillId="0" borderId="0" xfId="22" applyNumberFormat="1" applyFont="1" applyAlignment="1" applyProtection="1"/>
    <xf numFmtId="2" fontId="29" fillId="0" borderId="0" xfId="22" applyNumberFormat="1" applyFont="1" applyAlignment="1" applyProtection="1"/>
    <xf numFmtId="0" fontId="41" fillId="0" borderId="41" xfId="0" applyFont="1" applyFill="1" applyBorder="1" applyAlignment="1" applyProtection="1">
      <alignment vertical="center" wrapText="1"/>
    </xf>
    <xf numFmtId="0" fontId="0" fillId="0" borderId="32" xfId="0" applyFill="1" applyBorder="1" applyAlignment="1" applyProtection="1">
      <alignment horizontal="center" vertical="center"/>
    </xf>
    <xf numFmtId="3" fontId="59" fillId="0" borderId="32" xfId="0" applyNumberFormat="1" applyFont="1" applyFill="1" applyBorder="1" applyAlignment="1" applyProtection="1">
      <alignment horizontal="right" vertical="center"/>
    </xf>
    <xf numFmtId="3" fontId="59" fillId="0" borderId="32" xfId="0" applyNumberFormat="1" applyFont="1" applyFill="1" applyBorder="1" applyAlignment="1" applyProtection="1">
      <alignment horizontal="right" vertical="center"/>
      <protection locked="0"/>
    </xf>
    <xf numFmtId="3" fontId="32" fillId="0" borderId="32" xfId="0" applyNumberFormat="1" applyFont="1" applyFill="1" applyBorder="1" applyAlignment="1" applyProtection="1">
      <alignment horizontal="right" vertical="center"/>
      <protection locked="0"/>
    </xf>
    <xf numFmtId="3" fontId="59" fillId="0" borderId="34" xfId="0" applyNumberFormat="1" applyFont="1" applyFill="1" applyBorder="1" applyAlignment="1" applyProtection="1">
      <alignment vertical="center"/>
      <protection locked="0"/>
    </xf>
    <xf numFmtId="3" fontId="169" fillId="0" borderId="0" xfId="0" applyNumberFormat="1" applyFont="1" applyFill="1" applyBorder="1" applyAlignment="1" applyProtection="1">
      <alignment horizontal="center"/>
    </xf>
    <xf numFmtId="3" fontId="17" fillId="0" borderId="122" xfId="0" applyNumberFormat="1" applyFont="1" applyFill="1" applyBorder="1" applyAlignment="1" applyProtection="1">
      <alignment horizontal="right" vertical="center" wrapText="1"/>
    </xf>
    <xf numFmtId="3" fontId="17" fillId="0" borderId="86" xfId="0" applyNumberFormat="1" applyFont="1" applyFill="1" applyBorder="1" applyAlignment="1" applyProtection="1">
      <alignment horizontal="right" vertical="center" wrapText="1"/>
    </xf>
    <xf numFmtId="3" fontId="17" fillId="0" borderId="84" xfId="0" applyNumberFormat="1" applyFont="1" applyFill="1" applyBorder="1" applyAlignment="1" applyProtection="1">
      <alignment horizontal="right" vertical="center" wrapText="1"/>
    </xf>
    <xf numFmtId="3" fontId="59" fillId="0" borderId="84" xfId="0" applyNumberFormat="1" applyFont="1" applyFill="1" applyBorder="1" applyAlignment="1" applyProtection="1">
      <alignment vertical="center"/>
      <protection locked="0"/>
    </xf>
    <xf numFmtId="3" fontId="29" fillId="0" borderId="204" xfId="0" applyNumberFormat="1" applyFont="1" applyFill="1" applyBorder="1" applyAlignment="1" applyProtection="1">
      <alignment vertical="center"/>
    </xf>
    <xf numFmtId="3" fontId="59" fillId="0" borderId="205" xfId="0" applyNumberFormat="1" applyFont="1" applyFill="1" applyBorder="1" applyAlignment="1" applyProtection="1">
      <alignment vertical="center"/>
      <protection locked="0"/>
    </xf>
    <xf numFmtId="1" fontId="79" fillId="0" borderId="92" xfId="24" applyNumberFormat="1" applyFont="1" applyFill="1" applyBorder="1" applyAlignment="1" applyProtection="1">
      <alignment vertical="center" wrapText="1"/>
    </xf>
    <xf numFmtId="1" fontId="72" fillId="0" borderId="92" xfId="0" applyNumberFormat="1" applyFont="1" applyFill="1" applyBorder="1" applyAlignment="1" applyProtection="1">
      <alignment vertical="center" wrapText="1"/>
    </xf>
    <xf numFmtId="1" fontId="72" fillId="0" borderId="91" xfId="0" applyNumberFormat="1" applyFont="1" applyFill="1" applyBorder="1" applyAlignment="1" applyProtection="1">
      <alignment horizontal="center" vertical="center"/>
    </xf>
    <xf numFmtId="0" fontId="163" fillId="0" borderId="207" xfId="22" applyFont="1" applyBorder="1" applyAlignment="1" applyProtection="1">
      <alignment horizontal="center" vertical="center"/>
    </xf>
    <xf numFmtId="0" fontId="163" fillId="0" borderId="179" xfId="22" applyFont="1" applyBorder="1" applyAlignment="1" applyProtection="1">
      <alignment horizontal="center" vertical="center" wrapText="1"/>
    </xf>
    <xf numFmtId="0" fontId="163" fillId="0" borderId="180" xfId="22" applyFont="1" applyBorder="1" applyAlignment="1" applyProtection="1">
      <alignment horizontal="center" vertical="center" wrapText="1"/>
    </xf>
    <xf numFmtId="49" fontId="189" fillId="0" borderId="101" xfId="0" applyNumberFormat="1" applyFont="1" applyFill="1" applyBorder="1" applyAlignment="1">
      <alignment vertical="center" wrapText="1"/>
    </xf>
    <xf numFmtId="0" fontId="189" fillId="0" borderId="91" xfId="0" applyFont="1" applyFill="1" applyBorder="1" applyAlignment="1">
      <alignment horizontal="center" vertical="center"/>
    </xf>
    <xf numFmtId="170" fontId="12" fillId="0" borderId="0" xfId="0" applyNumberFormat="1" applyFont="1" applyFill="1" applyBorder="1" applyAlignment="1" applyProtection="1">
      <alignment vertical="center" wrapText="1"/>
    </xf>
    <xf numFmtId="49" fontId="44" fillId="0" borderId="0" xfId="0" applyNumberFormat="1" applyFont="1" applyFill="1" applyBorder="1" applyAlignment="1" applyProtection="1">
      <alignment horizontal="left" vertical="center"/>
    </xf>
    <xf numFmtId="3" fontId="27" fillId="0" borderId="0" xfId="0" applyNumberFormat="1" applyFont="1" applyFill="1" applyBorder="1" applyAlignment="1" applyProtection="1">
      <alignment horizontal="right" vertical="center"/>
      <protection locked="0"/>
    </xf>
    <xf numFmtId="49" fontId="48" fillId="0" borderId="91" xfId="0" applyNumberFormat="1" applyFont="1" applyFill="1" applyBorder="1" applyAlignment="1" applyProtection="1">
      <alignment horizontal="left" vertical="center"/>
    </xf>
    <xf numFmtId="170" fontId="12" fillId="0" borderId="101" xfId="0" applyNumberFormat="1" applyFont="1" applyFill="1" applyBorder="1" applyAlignment="1" applyProtection="1">
      <alignment vertical="center" wrapText="1"/>
    </xf>
    <xf numFmtId="49" fontId="44" fillId="0" borderId="91" xfId="0" applyNumberFormat="1" applyFont="1" applyFill="1" applyBorder="1" applyAlignment="1" applyProtection="1">
      <alignment horizontal="left" vertical="center"/>
    </xf>
    <xf numFmtId="170" fontId="41" fillId="0" borderId="208" xfId="0" applyNumberFormat="1" applyFont="1" applyFill="1" applyBorder="1" applyAlignment="1" applyProtection="1">
      <alignment vertical="center" wrapText="1"/>
    </xf>
    <xf numFmtId="49" fontId="79" fillId="0" borderId="209" xfId="25" applyNumberFormat="1" applyFont="1" applyBorder="1" applyAlignment="1" applyProtection="1">
      <alignment horizontal="left" vertical="center"/>
    </xf>
    <xf numFmtId="3" fontId="27" fillId="0" borderId="210" xfId="0" applyNumberFormat="1" applyFont="1" applyFill="1" applyBorder="1" applyAlignment="1" applyProtection="1">
      <alignment horizontal="right" vertical="center"/>
    </xf>
    <xf numFmtId="3" fontId="27" fillId="0" borderId="97" xfId="0" applyNumberFormat="1" applyFont="1" applyFill="1" applyBorder="1" applyAlignment="1" applyProtection="1">
      <alignment horizontal="right" vertical="center"/>
    </xf>
    <xf numFmtId="3" fontId="27" fillId="0" borderId="98" xfId="0" applyNumberFormat="1" applyFont="1" applyFill="1" applyBorder="1" applyAlignment="1" applyProtection="1">
      <alignment horizontal="right" vertical="center"/>
    </xf>
    <xf numFmtId="170" fontId="41" fillId="0" borderId="99" xfId="0" applyNumberFormat="1" applyFont="1" applyFill="1" applyBorder="1" applyAlignment="1" applyProtection="1">
      <alignment vertical="center" wrapText="1"/>
    </xf>
    <xf numFmtId="49" fontId="79" fillId="0" borderId="100" xfId="25" applyNumberFormat="1" applyFont="1" applyBorder="1" applyAlignment="1" applyProtection="1">
      <alignment horizontal="left" vertical="center"/>
    </xf>
    <xf numFmtId="3" fontId="16" fillId="0" borderId="100" xfId="0" applyNumberFormat="1" applyFont="1" applyFill="1" applyBorder="1" applyAlignment="1" applyProtection="1">
      <alignment horizontal="right" vertical="center"/>
    </xf>
    <xf numFmtId="3" fontId="16" fillId="0" borderId="102" xfId="0" applyNumberFormat="1" applyFont="1" applyFill="1" applyBorder="1" applyAlignment="1" applyProtection="1">
      <alignment horizontal="right" vertical="center"/>
    </xf>
    <xf numFmtId="2" fontId="31" fillId="0" borderId="101" xfId="0" applyNumberFormat="1" applyFont="1" applyFill="1" applyBorder="1" applyAlignment="1" applyProtection="1">
      <alignment vertical="center" wrapText="1"/>
    </xf>
    <xf numFmtId="2" fontId="12" fillId="0" borderId="101" xfId="0" applyNumberFormat="1" applyFont="1" applyFill="1" applyBorder="1" applyAlignment="1" applyProtection="1">
      <alignment vertical="center"/>
    </xf>
    <xf numFmtId="2" fontId="12" fillId="0" borderId="141" xfId="0" applyNumberFormat="1" applyFont="1" applyFill="1" applyBorder="1" applyAlignment="1" applyProtection="1">
      <alignment vertical="center"/>
    </xf>
    <xf numFmtId="49" fontId="44" fillId="0" borderId="104" xfId="0" applyNumberFormat="1" applyFont="1" applyFill="1" applyBorder="1" applyAlignment="1" applyProtection="1">
      <alignment vertical="center"/>
    </xf>
    <xf numFmtId="0" fontId="31" fillId="0" borderId="0" xfId="0" applyFont="1" applyFill="1" applyAlignment="1" applyProtection="1">
      <alignment horizontal="center"/>
    </xf>
    <xf numFmtId="0" fontId="27" fillId="0" borderId="0" xfId="0" applyFont="1" applyAlignment="1">
      <alignment horizontal="right" vertical="center"/>
    </xf>
    <xf numFmtId="0" fontId="16" fillId="0" borderId="0" xfId="0" applyFont="1" applyAlignment="1">
      <alignment horizontal="right" vertical="center"/>
    </xf>
    <xf numFmtId="3" fontId="29" fillId="0" borderId="91" xfId="0" applyNumberFormat="1" applyFont="1" applyFill="1" applyBorder="1" applyAlignment="1" applyProtection="1">
      <alignment vertical="center"/>
    </xf>
    <xf numFmtId="49" fontId="31" fillId="0" borderId="91" xfId="0" applyNumberFormat="1" applyFont="1" applyFill="1" applyBorder="1" applyAlignment="1" applyProtection="1">
      <alignment horizontal="center" vertical="center"/>
    </xf>
    <xf numFmtId="49" fontId="11" fillId="0" borderId="91" xfId="0" applyNumberFormat="1" applyFont="1" applyFill="1" applyBorder="1" applyAlignment="1" applyProtection="1">
      <alignment horizontal="center" vertical="center"/>
    </xf>
    <xf numFmtId="3" fontId="59" fillId="0" borderId="91" xfId="0" applyNumberFormat="1" applyFont="1" applyFill="1" applyBorder="1" applyAlignment="1" applyProtection="1">
      <alignment vertical="center"/>
      <protection locked="0"/>
    </xf>
    <xf numFmtId="49" fontId="41" fillId="0" borderId="91" xfId="0" applyNumberFormat="1" applyFont="1" applyFill="1" applyBorder="1" applyAlignment="1" applyProtection="1">
      <alignment horizontal="center" vertical="center"/>
    </xf>
    <xf numFmtId="49" fontId="12" fillId="0" borderId="91" xfId="0" applyNumberFormat="1" applyFont="1" applyFill="1" applyBorder="1" applyAlignment="1" applyProtection="1">
      <alignment horizontal="center" vertical="center"/>
    </xf>
    <xf numFmtId="3" fontId="13" fillId="0" borderId="91" xfId="0" applyNumberFormat="1" applyFont="1" applyFill="1" applyBorder="1" applyAlignment="1" applyProtection="1">
      <alignment vertical="center"/>
      <protection locked="0"/>
    </xf>
    <xf numFmtId="3" fontId="17" fillId="0" borderId="91" xfId="0" applyNumberFormat="1" applyFont="1" applyFill="1" applyBorder="1" applyAlignment="1" applyProtection="1">
      <alignment vertical="center"/>
    </xf>
    <xf numFmtId="3" fontId="29" fillId="0" borderId="91" xfId="0" applyNumberFormat="1" applyFont="1" applyFill="1" applyBorder="1" applyAlignment="1" applyProtection="1">
      <alignment vertical="center"/>
      <protection locked="0"/>
    </xf>
    <xf numFmtId="3" fontId="31" fillId="0" borderId="91" xfId="0" applyNumberFormat="1" applyFont="1" applyFill="1" applyBorder="1" applyAlignment="1" applyProtection="1">
      <alignment horizontal="center" vertical="center" wrapText="1"/>
    </xf>
    <xf numFmtId="3" fontId="12" fillId="0" borderId="91" xfId="0" applyNumberFormat="1" applyFont="1" applyFill="1" applyBorder="1" applyAlignment="1" applyProtection="1">
      <alignment horizontal="center" vertical="center" wrapText="1"/>
    </xf>
    <xf numFmtId="1" fontId="74" fillId="0" borderId="91" xfId="0" applyNumberFormat="1" applyFont="1" applyFill="1" applyBorder="1" applyAlignment="1" applyProtection="1">
      <alignment horizontal="center" vertical="center"/>
    </xf>
    <xf numFmtId="49" fontId="12" fillId="0" borderId="91" xfId="24" applyNumberFormat="1" applyFont="1" applyFill="1" applyBorder="1" applyAlignment="1" applyProtection="1">
      <alignment horizontal="center" vertical="center"/>
    </xf>
    <xf numFmtId="3" fontId="13" fillId="0" borderId="91" xfId="0" applyNumberFormat="1" applyFont="1" applyFill="1" applyBorder="1" applyAlignment="1" applyProtection="1">
      <alignment horizontal="right" vertical="center"/>
      <protection locked="0"/>
    </xf>
    <xf numFmtId="49" fontId="56" fillId="0" borderId="91" xfId="24" applyNumberFormat="1" applyFont="1" applyFill="1" applyBorder="1" applyAlignment="1" applyProtection="1">
      <alignment horizontal="center" vertical="center"/>
    </xf>
    <xf numFmtId="3" fontId="29" fillId="0" borderId="91" xfId="0" applyNumberFormat="1" applyFont="1" applyFill="1" applyBorder="1" applyAlignment="1" applyProtection="1">
      <alignment horizontal="right" vertical="center"/>
    </xf>
    <xf numFmtId="49" fontId="31" fillId="0" borderId="101" xfId="0" applyNumberFormat="1" applyFont="1" applyFill="1" applyBorder="1" applyAlignment="1" applyProtection="1">
      <alignment vertical="center" wrapText="1"/>
    </xf>
    <xf numFmtId="3" fontId="29" fillId="0" borderId="103" xfId="0" applyNumberFormat="1" applyFont="1" applyFill="1" applyBorder="1" applyAlignment="1" applyProtection="1">
      <alignment vertical="center"/>
    </xf>
    <xf numFmtId="49" fontId="11" fillId="0" borderId="101" xfId="0" applyNumberFormat="1" applyFont="1" applyFill="1" applyBorder="1" applyAlignment="1" applyProtection="1">
      <alignment vertical="center" wrapText="1"/>
    </xf>
    <xf numFmtId="3" fontId="59" fillId="0" borderId="103" xfId="0" applyNumberFormat="1" applyFont="1" applyFill="1" applyBorder="1" applyAlignment="1" applyProtection="1">
      <alignment vertical="center"/>
    </xf>
    <xf numFmtId="49" fontId="31" fillId="0" borderId="101" xfId="0" applyNumberFormat="1" applyFont="1" applyFill="1" applyBorder="1" applyAlignment="1" applyProtection="1">
      <alignment horizontal="left" vertical="center" wrapText="1"/>
    </xf>
    <xf numFmtId="49" fontId="12" fillId="0" borderId="101" xfId="0" applyNumberFormat="1" applyFont="1" applyFill="1" applyBorder="1" applyAlignment="1" applyProtection="1">
      <alignment vertical="center" wrapText="1"/>
    </xf>
    <xf numFmtId="3" fontId="13" fillId="0" borderId="103" xfId="0" applyNumberFormat="1" applyFont="1" applyFill="1" applyBorder="1" applyAlignment="1" applyProtection="1">
      <alignment vertical="center"/>
    </xf>
    <xf numFmtId="3" fontId="17" fillId="0" borderId="103" xfId="0" applyNumberFormat="1" applyFont="1" applyFill="1" applyBorder="1" applyAlignment="1" applyProtection="1">
      <alignment vertical="center"/>
    </xf>
    <xf numFmtId="170" fontId="77" fillId="0" borderId="101" xfId="0" applyNumberFormat="1" applyFont="1" applyFill="1" applyBorder="1" applyAlignment="1" applyProtection="1">
      <alignment vertical="center" wrapText="1"/>
    </xf>
    <xf numFmtId="170" fontId="138" fillId="0" borderId="101" xfId="0" applyNumberFormat="1" applyFont="1" applyFill="1" applyBorder="1" applyAlignment="1" applyProtection="1">
      <alignment vertical="center" wrapText="1"/>
    </xf>
    <xf numFmtId="1" fontId="75" fillId="0" borderId="101" xfId="0" applyNumberFormat="1" applyFont="1" applyFill="1" applyBorder="1" applyAlignment="1" applyProtection="1">
      <alignment vertical="center" wrapText="1"/>
    </xf>
    <xf numFmtId="49" fontId="41" fillId="0" borderId="101" xfId="0" applyNumberFormat="1" applyFont="1" applyFill="1" applyBorder="1" applyAlignment="1" applyProtection="1">
      <alignment vertical="center" wrapText="1"/>
    </xf>
    <xf numFmtId="49" fontId="12" fillId="0" borderId="101" xfId="0" applyNumberFormat="1" applyFont="1" applyFill="1" applyBorder="1" applyAlignment="1" applyProtection="1">
      <alignment horizontal="left" vertical="center" wrapText="1"/>
    </xf>
    <xf numFmtId="49" fontId="77" fillId="0" borderId="101" xfId="50" applyNumberFormat="1" applyFont="1" applyFill="1" applyBorder="1" applyAlignment="1" applyProtection="1">
      <alignment vertical="center" wrapText="1"/>
    </xf>
    <xf numFmtId="49" fontId="12" fillId="0" borderId="101" xfId="24" applyNumberFormat="1" applyFont="1" applyFill="1" applyBorder="1" applyAlignment="1" applyProtection="1">
      <alignment vertical="center" wrapText="1"/>
    </xf>
    <xf numFmtId="3" fontId="13" fillId="0" borderId="103" xfId="0" applyNumberFormat="1" applyFont="1" applyFill="1" applyBorder="1" applyAlignment="1" applyProtection="1">
      <alignment horizontal="right" vertical="center"/>
    </xf>
    <xf numFmtId="3" fontId="56" fillId="0" borderId="101" xfId="0" applyNumberFormat="1" applyFont="1" applyFill="1" applyBorder="1" applyAlignment="1" applyProtection="1">
      <alignment vertical="center" wrapText="1"/>
    </xf>
    <xf numFmtId="3" fontId="29" fillId="0" borderId="103" xfId="0" applyNumberFormat="1" applyFont="1" applyFill="1" applyBorder="1" applyAlignment="1" applyProtection="1">
      <alignment horizontal="right" vertical="center"/>
    </xf>
    <xf numFmtId="3" fontId="56" fillId="0" borderId="101" xfId="24" applyNumberFormat="1" applyFont="1" applyFill="1" applyBorder="1" applyAlignment="1" applyProtection="1">
      <alignment vertical="center" wrapText="1"/>
    </xf>
    <xf numFmtId="1" fontId="74" fillId="0" borderId="101" xfId="24" applyNumberFormat="1" applyFont="1" applyFill="1" applyBorder="1" applyAlignment="1" applyProtection="1">
      <alignment vertical="center" wrapText="1"/>
    </xf>
    <xf numFmtId="1" fontId="74" fillId="0" borderId="141" xfId="24" applyNumberFormat="1" applyFont="1" applyFill="1" applyBorder="1" applyAlignment="1" applyProtection="1">
      <alignment vertical="center" wrapText="1"/>
    </xf>
    <xf numFmtId="1" fontId="74" fillId="0" borderId="104" xfId="24" applyNumberFormat="1" applyFont="1" applyFill="1" applyBorder="1" applyAlignment="1" applyProtection="1">
      <alignment horizontal="center" vertical="center"/>
    </xf>
    <xf numFmtId="3" fontId="13" fillId="0" borderId="104" xfId="0" applyNumberFormat="1" applyFont="1" applyFill="1" applyBorder="1" applyAlignment="1" applyProtection="1">
      <alignment horizontal="right" vertical="center"/>
      <protection locked="0"/>
    </xf>
    <xf numFmtId="3" fontId="13" fillId="0" borderId="105" xfId="0" applyNumberFormat="1" applyFont="1" applyFill="1" applyBorder="1" applyAlignment="1" applyProtection="1">
      <alignment horizontal="right" vertical="center"/>
    </xf>
    <xf numFmtId="0" fontId="23" fillId="0" borderId="211" xfId="0" applyFont="1" applyFill="1" applyBorder="1" applyAlignment="1" applyProtection="1">
      <alignment horizontal="center" vertical="top" wrapText="1"/>
    </xf>
    <xf numFmtId="0" fontId="23" fillId="0" borderId="212" xfId="0" applyFont="1" applyFill="1" applyBorder="1" applyAlignment="1" applyProtection="1">
      <alignment horizontal="center" vertical="top" wrapText="1"/>
    </xf>
    <xf numFmtId="0" fontId="23" fillId="0" borderId="212" xfId="0" applyFont="1" applyFill="1" applyBorder="1" applyAlignment="1" applyProtection="1">
      <alignment horizontal="center"/>
    </xf>
    <xf numFmtId="0" fontId="23" fillId="0" borderId="213" xfId="0" applyFont="1" applyFill="1" applyBorder="1" applyAlignment="1" applyProtection="1">
      <alignment horizontal="center"/>
    </xf>
    <xf numFmtId="4" fontId="12" fillId="0" borderId="101" xfId="0" applyNumberFormat="1" applyFont="1" applyFill="1" applyBorder="1" applyAlignment="1">
      <alignment vertical="center" wrapText="1"/>
    </xf>
    <xf numFmtId="1" fontId="56" fillId="0" borderId="101" xfId="0" applyNumberFormat="1" applyFont="1" applyFill="1" applyBorder="1" applyAlignment="1" applyProtection="1">
      <alignment vertical="center" wrapText="1"/>
    </xf>
    <xf numFmtId="1" fontId="79" fillId="0" borderId="101" xfId="24" applyNumberFormat="1" applyFont="1" applyFill="1" applyBorder="1" applyAlignment="1" applyProtection="1">
      <alignment vertical="center" wrapText="1"/>
    </xf>
    <xf numFmtId="1" fontId="72" fillId="0" borderId="101" xfId="0" applyNumberFormat="1" applyFont="1" applyFill="1" applyBorder="1" applyAlignment="1" applyProtection="1">
      <alignment vertical="center" wrapText="1"/>
    </xf>
    <xf numFmtId="1" fontId="56" fillId="0" borderId="101" xfId="24" applyNumberFormat="1" applyFont="1" applyFill="1" applyBorder="1" applyAlignment="1" applyProtection="1">
      <alignment vertical="center" wrapText="1"/>
    </xf>
    <xf numFmtId="1" fontId="56" fillId="0" borderId="173" xfId="0" applyNumberFormat="1" applyFont="1" applyFill="1" applyBorder="1" applyAlignment="1" applyProtection="1">
      <alignment vertical="center" wrapText="1"/>
    </xf>
    <xf numFmtId="0" fontId="23" fillId="0" borderId="158" xfId="0" applyFont="1" applyFill="1" applyBorder="1" applyAlignment="1" applyProtection="1">
      <alignment horizontal="center" vertical="top" wrapText="1"/>
    </xf>
    <xf numFmtId="0" fontId="23" fillId="0" borderId="159" xfId="0" applyFont="1" applyFill="1" applyBorder="1" applyAlignment="1" applyProtection="1">
      <alignment horizontal="center" vertical="top" wrapText="1"/>
    </xf>
    <xf numFmtId="0" fontId="23" fillId="0" borderId="159" xfId="0" applyFont="1" applyFill="1" applyBorder="1" applyAlignment="1" applyProtection="1">
      <alignment horizontal="center"/>
    </xf>
    <xf numFmtId="0" fontId="23" fillId="0" borderId="160" xfId="0" applyFont="1" applyFill="1" applyBorder="1" applyAlignment="1" applyProtection="1">
      <alignment horizontal="center"/>
    </xf>
    <xf numFmtId="2" fontId="17" fillId="0" borderId="0" xfId="0" applyNumberFormat="1" applyFont="1" applyAlignment="1">
      <alignment horizontal="center"/>
    </xf>
    <xf numFmtId="2" fontId="16" fillId="0" borderId="0" xfId="0" applyNumberFormat="1" applyFont="1" applyAlignment="1">
      <alignment horizontal="center" vertical="center"/>
    </xf>
    <xf numFmtId="0" fontId="16" fillId="0" borderId="0" xfId="0" applyFont="1" applyAlignment="1">
      <alignment horizontal="center" vertical="center"/>
    </xf>
    <xf numFmtId="3" fontId="32" fillId="0" borderId="103" xfId="0" applyNumberFormat="1" applyFont="1" applyFill="1" applyBorder="1" applyAlignment="1" applyProtection="1">
      <alignment horizontal="right" vertical="center"/>
    </xf>
    <xf numFmtId="3" fontId="92" fillId="0" borderId="0" xfId="22" applyNumberFormat="1" applyFont="1" applyFill="1" applyAlignment="1" applyProtection="1">
      <alignment horizontal="center" vertical="center"/>
    </xf>
    <xf numFmtId="4" fontId="44" fillId="0" borderId="29" xfId="37" applyNumberFormat="1" applyFont="1" applyFill="1" applyBorder="1" applyAlignment="1" applyProtection="1">
      <alignment horizontal="right" vertical="center" textRotation="90" wrapText="1"/>
    </xf>
    <xf numFmtId="4" fontId="44" fillId="0" borderId="12" xfId="37" applyNumberFormat="1" applyFont="1" applyFill="1" applyBorder="1" applyAlignment="1" applyProtection="1">
      <alignment horizontal="center" textRotation="90" wrapText="1"/>
    </xf>
    <xf numFmtId="0" fontId="17" fillId="0" borderId="0" xfId="0" applyFont="1" applyFill="1" applyAlignment="1" applyProtection="1">
      <alignment horizontal="center"/>
    </xf>
    <xf numFmtId="0" fontId="41" fillId="0" borderId="214" xfId="0" applyFont="1" applyFill="1" applyBorder="1" applyAlignment="1" applyProtection="1">
      <alignment horizontal="center" vertical="center" wrapText="1"/>
    </xf>
    <xf numFmtId="3" fontId="17" fillId="0" borderId="215" xfId="0" applyNumberFormat="1" applyFont="1" applyFill="1" applyBorder="1" applyAlignment="1" applyProtection="1">
      <alignment horizontal="right" vertical="center" wrapText="1"/>
    </xf>
    <xf numFmtId="3" fontId="17" fillId="0" borderId="216" xfId="0" applyNumberFormat="1" applyFont="1" applyFill="1" applyBorder="1" applyAlignment="1" applyProtection="1">
      <alignment horizontal="right" vertical="center" wrapText="1"/>
    </xf>
    <xf numFmtId="0" fontId="11" fillId="0" borderId="96" xfId="0" applyFont="1" applyFill="1" applyBorder="1" applyAlignment="1" applyProtection="1">
      <alignment horizontal="left" vertical="center" wrapText="1"/>
    </xf>
    <xf numFmtId="3" fontId="59" fillId="0" borderId="87" xfId="0" applyNumberFormat="1" applyFont="1" applyFill="1" applyBorder="1" applyAlignment="1" applyProtection="1">
      <alignment vertical="center"/>
      <protection locked="0"/>
    </xf>
    <xf numFmtId="3" fontId="59" fillId="0" borderId="89" xfId="0" applyNumberFormat="1" applyFont="1" applyFill="1" applyBorder="1" applyAlignment="1" applyProtection="1">
      <alignment vertical="center"/>
      <protection locked="0"/>
    </xf>
    <xf numFmtId="0" fontId="92" fillId="21" borderId="0" xfId="0" applyFont="1" applyFill="1" applyAlignment="1" applyProtection="1">
      <alignment horizontal="center" vertical="center"/>
    </xf>
    <xf numFmtId="0" fontId="12" fillId="0" borderId="0" xfId="37" applyFill="1" applyBorder="1" applyAlignment="1" applyProtection="1">
      <alignment vertical="center"/>
    </xf>
    <xf numFmtId="0" fontId="12" fillId="0" borderId="0" xfId="37" applyFill="1" applyAlignment="1" applyProtection="1">
      <alignment vertical="center"/>
    </xf>
    <xf numFmtId="4" fontId="12" fillId="0" borderId="0" xfId="37" applyNumberFormat="1" applyFill="1" applyAlignment="1" applyProtection="1">
      <alignment vertical="center"/>
    </xf>
    <xf numFmtId="0" fontId="12" fillId="0" borderId="0" xfId="37" applyAlignment="1" applyProtection="1">
      <alignment vertical="center"/>
    </xf>
    <xf numFmtId="3" fontId="11" fillId="0" borderId="0" xfId="25" applyNumberFormat="1" applyFont="1" applyFill="1" applyAlignment="1">
      <alignment vertical="center"/>
    </xf>
    <xf numFmtId="0" fontId="11" fillId="0" borderId="0" xfId="25" applyFont="1" applyFill="1" applyAlignment="1">
      <alignment vertical="center"/>
    </xf>
    <xf numFmtId="3" fontId="26" fillId="12" borderId="91" xfId="0" applyNumberFormat="1" applyFont="1" applyFill="1" applyBorder="1" applyAlignment="1" applyProtection="1">
      <alignment horizontal="right" vertical="center"/>
      <protection locked="0"/>
    </xf>
    <xf numFmtId="1" fontId="41" fillId="0" borderId="0" xfId="0" applyNumberFormat="1" applyFont="1" applyFill="1" applyBorder="1" applyAlignment="1" applyProtection="1">
      <alignment vertical="center"/>
    </xf>
    <xf numFmtId="1" fontId="121" fillId="0" borderId="0" xfId="0" applyNumberFormat="1" applyFont="1" applyFill="1" applyBorder="1" applyAlignment="1" applyProtection="1">
      <alignment vertical="center"/>
    </xf>
    <xf numFmtId="1" fontId="41" fillId="0" borderId="0" xfId="68" applyNumberFormat="1" applyFont="1" applyFill="1" applyBorder="1" applyAlignment="1" applyProtection="1">
      <alignment vertical="center"/>
    </xf>
    <xf numFmtId="0" fontId="11" fillId="0" borderId="0" xfId="25" applyFill="1" applyProtection="1"/>
    <xf numFmtId="0" fontId="41" fillId="0" borderId="217" xfId="0" applyFont="1" applyFill="1" applyBorder="1" applyAlignment="1" applyProtection="1">
      <alignment horizontal="center" vertical="center" wrapText="1"/>
    </xf>
    <xf numFmtId="0" fontId="41" fillId="0" borderId="218" xfId="0" applyFont="1" applyFill="1" applyBorder="1" applyAlignment="1" applyProtection="1">
      <alignment horizontal="left" vertical="center" wrapText="1"/>
    </xf>
    <xf numFmtId="0" fontId="0" fillId="0" borderId="218" xfId="0" applyFont="1" applyFill="1" applyBorder="1" applyAlignment="1" applyProtection="1">
      <alignment horizontal="left" vertical="center" wrapText="1"/>
    </xf>
    <xf numFmtId="0" fontId="11" fillId="0" borderId="218" xfId="0" applyFont="1" applyFill="1" applyBorder="1" applyAlignment="1" applyProtection="1">
      <alignment horizontal="left" vertical="center" wrapText="1"/>
    </xf>
    <xf numFmtId="3" fontId="0" fillId="0" borderId="219" xfId="0" applyNumberFormat="1" applyFont="1" applyFill="1" applyBorder="1" applyAlignment="1" applyProtection="1">
      <alignment horizontal="left" vertical="center" wrapText="1"/>
    </xf>
    <xf numFmtId="0" fontId="31" fillId="0" borderId="220" xfId="0" applyFont="1" applyFill="1" applyBorder="1" applyAlignment="1" applyProtection="1">
      <alignment horizontal="left" vertical="center" wrapText="1"/>
    </xf>
    <xf numFmtId="0" fontId="11" fillId="0" borderId="220" xfId="0" applyFont="1" applyFill="1" applyBorder="1" applyAlignment="1" applyProtection="1">
      <alignment horizontal="left" vertical="center" wrapText="1"/>
    </xf>
    <xf numFmtId="3" fontId="0" fillId="0" borderId="221" xfId="0" applyNumberFormat="1" applyFill="1" applyBorder="1" applyAlignment="1" applyProtection="1">
      <alignment vertical="center" wrapText="1"/>
    </xf>
    <xf numFmtId="0" fontId="0" fillId="0" borderId="0" xfId="0" applyAlignment="1" applyProtection="1">
      <alignment vertical="center"/>
      <protection locked="0"/>
    </xf>
    <xf numFmtId="3" fontId="167" fillId="0" borderId="0" xfId="0" applyNumberFormat="1" applyFont="1" applyFill="1" applyProtection="1"/>
    <xf numFmtId="2" fontId="192" fillId="0" borderId="0" xfId="0" applyNumberFormat="1" applyFont="1" applyFill="1" applyAlignment="1" applyProtection="1">
      <alignment horizontal="center"/>
    </xf>
    <xf numFmtId="0" fontId="174" fillId="0" borderId="0" xfId="0" applyFont="1" applyFill="1" applyAlignment="1" applyProtection="1"/>
    <xf numFmtId="3" fontId="199" fillId="0" borderId="0" xfId="0" applyNumberFormat="1" applyFont="1" applyFill="1" applyProtection="1"/>
    <xf numFmtId="4" fontId="53" fillId="0" borderId="0" xfId="0" applyNumberFormat="1" applyFont="1" applyFill="1" applyBorder="1" applyAlignment="1" applyProtection="1">
      <alignment horizontal="center"/>
    </xf>
    <xf numFmtId="4" fontId="12" fillId="0" borderId="0" xfId="22" applyNumberFormat="1"/>
    <xf numFmtId="4" fontId="12" fillId="0" borderId="0" xfId="22" applyNumberFormat="1" applyProtection="1"/>
    <xf numFmtId="0" fontId="200" fillId="0" borderId="0" xfId="71" applyFont="1"/>
    <xf numFmtId="0" fontId="201" fillId="0" borderId="0" xfId="71" applyFont="1" applyAlignment="1">
      <alignment horizontal="center"/>
    </xf>
    <xf numFmtId="0" fontId="201" fillId="0" borderId="0" xfId="71" applyFont="1"/>
    <xf numFmtId="3" fontId="201" fillId="0" borderId="0" xfId="71" applyNumberFormat="1" applyFont="1"/>
    <xf numFmtId="0" fontId="26" fillId="0" borderId="3" xfId="0" applyFont="1" applyBorder="1" applyAlignment="1" applyProtection="1">
      <alignment horizontal="center" vertical="center" wrapText="1"/>
    </xf>
    <xf numFmtId="0" fontId="26" fillId="0" borderId="0" xfId="0" applyFont="1" applyAlignment="1" applyProtection="1">
      <alignment horizontal="center"/>
    </xf>
    <xf numFmtId="2" fontId="26" fillId="0" borderId="0" xfId="39" applyNumberFormat="1" applyFont="1" applyBorder="1" applyAlignment="1" applyProtection="1">
      <alignment horizontal="center" vertical="top" wrapText="1"/>
    </xf>
    <xf numFmtId="0" fontId="16" fillId="0" borderId="0" xfId="0" applyFont="1" applyAlignment="1" applyProtection="1">
      <alignment horizontal="center"/>
    </xf>
    <xf numFmtId="0" fontId="32" fillId="0" borderId="0" xfId="0" applyFont="1" applyProtection="1"/>
    <xf numFmtId="0" fontId="26" fillId="0" borderId="0" xfId="22" applyFont="1" applyAlignment="1" applyProtection="1">
      <alignment horizontal="left"/>
    </xf>
    <xf numFmtId="0" fontId="26" fillId="0" borderId="62" xfId="0" applyFont="1" applyBorder="1" applyAlignment="1" applyProtection="1">
      <alignment horizontal="center" vertical="center" wrapText="1"/>
    </xf>
    <xf numFmtId="4" fontId="32" fillId="0" borderId="0" xfId="0" applyNumberFormat="1" applyFont="1" applyProtection="1"/>
    <xf numFmtId="3" fontId="190" fillId="0" borderId="0" xfId="0" applyNumberFormat="1" applyFont="1" applyProtection="1"/>
    <xf numFmtId="3" fontId="27" fillId="12" borderId="39" xfId="0" applyNumberFormat="1" applyFont="1" applyFill="1" applyBorder="1" applyAlignment="1" applyProtection="1">
      <alignment horizontal="right" vertical="center" wrapText="1"/>
      <protection locked="0"/>
    </xf>
    <xf numFmtId="4" fontId="27" fillId="0" borderId="74" xfId="0" applyNumberFormat="1" applyFont="1" applyBorder="1" applyAlignment="1" applyProtection="1">
      <alignment horizontal="right" vertical="center" wrapText="1"/>
      <protection locked="0"/>
    </xf>
    <xf numFmtId="4" fontId="27" fillId="0" borderId="75" xfId="0" applyNumberFormat="1" applyFont="1" applyBorder="1" applyAlignment="1" applyProtection="1">
      <alignment horizontal="right" vertical="center" wrapText="1"/>
      <protection locked="0"/>
    </xf>
    <xf numFmtId="3" fontId="27" fillId="0" borderId="112" xfId="22" applyNumberFormat="1" applyFont="1" applyFill="1" applyBorder="1" applyAlignment="1" applyProtection="1">
      <alignment horizontal="left" vertical="center" wrapText="1"/>
    </xf>
    <xf numFmtId="170" fontId="32" fillId="0" borderId="0" xfId="0" applyNumberFormat="1" applyFont="1" applyProtection="1"/>
    <xf numFmtId="4" fontId="27" fillId="0" borderId="112" xfId="22" applyNumberFormat="1" applyFont="1" applyFill="1" applyBorder="1" applyAlignment="1" applyProtection="1">
      <alignment horizontal="left" vertical="center" wrapText="1"/>
    </xf>
    <xf numFmtId="3" fontId="27" fillId="0" borderId="29" xfId="0" applyNumberFormat="1" applyFont="1" applyFill="1" applyBorder="1" applyAlignment="1" applyProtection="1">
      <alignment horizontal="right" vertical="center" wrapText="1"/>
      <protection locked="0"/>
    </xf>
    <xf numFmtId="4" fontId="27" fillId="0" borderId="75" xfId="0" applyNumberFormat="1" applyFont="1" applyFill="1" applyBorder="1" applyAlignment="1" applyProtection="1">
      <alignment horizontal="right" vertical="center" wrapText="1"/>
      <protection locked="0"/>
    </xf>
    <xf numFmtId="170" fontId="27" fillId="0" borderId="112" xfId="22" applyNumberFormat="1" applyFont="1" applyFill="1" applyBorder="1" applyAlignment="1" applyProtection="1">
      <alignment horizontal="left" vertical="center" wrapText="1"/>
    </xf>
    <xf numFmtId="170" fontId="26" fillId="0" borderId="112" xfId="42" applyNumberFormat="1" applyFont="1" applyFill="1" applyBorder="1" applyAlignment="1" applyProtection="1">
      <alignment vertical="center" wrapText="1"/>
      <protection locked="0"/>
    </xf>
    <xf numFmtId="4" fontId="27" fillId="0" borderId="78" xfId="22" applyNumberFormat="1" applyFont="1" applyBorder="1" applyAlignment="1" applyProtection="1">
      <alignment vertical="center" wrapText="1"/>
    </xf>
    <xf numFmtId="170" fontId="27" fillId="0" borderId="112" xfId="34" applyNumberFormat="1" applyFont="1" applyFill="1" applyBorder="1" applyAlignment="1" applyProtection="1">
      <alignment horizontal="justify" vertical="center" wrapText="1"/>
      <protection locked="0"/>
    </xf>
    <xf numFmtId="3" fontId="190" fillId="0" borderId="0" xfId="0" applyNumberFormat="1" applyFont="1" applyAlignment="1" applyProtection="1">
      <alignment vertical="center" wrapText="1"/>
    </xf>
    <xf numFmtId="3" fontId="190" fillId="0" borderId="0" xfId="0" applyNumberFormat="1" applyFont="1" applyAlignment="1" applyProtection="1">
      <alignment horizontal="center" vertical="center" wrapText="1"/>
    </xf>
    <xf numFmtId="4" fontId="27" fillId="0" borderId="116" xfId="22" applyNumberFormat="1" applyFont="1" applyBorder="1" applyAlignment="1" applyProtection="1">
      <alignment vertical="center" wrapText="1"/>
    </xf>
    <xf numFmtId="0" fontId="32" fillId="0" borderId="0" xfId="0" applyFont="1" applyAlignment="1" applyProtection="1">
      <alignment horizontal="center"/>
    </xf>
    <xf numFmtId="3" fontId="203" fillId="0" borderId="0" xfId="0" applyNumberFormat="1" applyFont="1" applyAlignment="1" applyProtection="1">
      <alignment horizontal="center"/>
    </xf>
    <xf numFmtId="2" fontId="16" fillId="0" borderId="0" xfId="0" applyNumberFormat="1" applyFont="1" applyAlignment="1" applyProtection="1">
      <alignment horizontal="center"/>
    </xf>
    <xf numFmtId="0" fontId="103" fillId="0" borderId="0" xfId="0" applyFont="1" applyAlignment="1" applyProtection="1">
      <alignment horizontal="center"/>
    </xf>
    <xf numFmtId="0" fontId="16" fillId="0" borderId="0" xfId="0" applyFont="1" applyAlignment="1" applyProtection="1"/>
    <xf numFmtId="4" fontId="18" fillId="0" borderId="0" xfId="72" applyNumberFormat="1" applyFont="1" applyFill="1" applyBorder="1"/>
    <xf numFmtId="4" fontId="106" fillId="0" borderId="0" xfId="72" applyNumberFormat="1" applyFont="1" applyFill="1" applyBorder="1"/>
    <xf numFmtId="4" fontId="106" fillId="0" borderId="0" xfId="72" applyNumberFormat="1" applyFont="1" applyFill="1"/>
    <xf numFmtId="4" fontId="195" fillId="0" borderId="0" xfId="72" applyNumberFormat="1" applyFont="1" applyFill="1" applyBorder="1" applyAlignment="1">
      <alignment horizontal="center"/>
    </xf>
    <xf numFmtId="4" fontId="106" fillId="0" borderId="0" xfId="72" applyNumberFormat="1" applyFont="1" applyFill="1" applyAlignment="1">
      <alignment horizontal="center" vertical="center" wrapText="1"/>
    </xf>
    <xf numFmtId="4" fontId="42" fillId="0" borderId="0" xfId="72" applyNumberFormat="1" applyFont="1" applyFill="1"/>
    <xf numFmtId="4" fontId="196" fillId="0" borderId="0" xfId="72" applyNumberFormat="1" applyFont="1" applyFill="1"/>
    <xf numFmtId="4" fontId="105" fillId="0" borderId="0" xfId="72" applyNumberFormat="1" applyFont="1" applyFill="1" applyBorder="1"/>
    <xf numFmtId="4" fontId="20" fillId="0" borderId="0" xfId="72" applyNumberFormat="1" applyFont="1" applyFill="1" applyBorder="1" applyAlignment="1">
      <alignment horizontal="center"/>
    </xf>
    <xf numFmtId="4" fontId="20" fillId="0" borderId="0" xfId="72" applyNumberFormat="1" applyFont="1" applyFill="1" applyBorder="1"/>
    <xf numFmtId="3" fontId="41" fillId="0" borderId="104" xfId="0" applyNumberFormat="1" applyFont="1" applyBorder="1" applyProtection="1"/>
    <xf numFmtId="0" fontId="163" fillId="0" borderId="173" xfId="22" applyFont="1" applyBorder="1" applyAlignment="1" applyProtection="1">
      <alignment horizontal="center" vertical="center" wrapText="1"/>
    </xf>
    <xf numFmtId="3" fontId="161" fillId="0" borderId="91" xfId="22" applyNumberFormat="1" applyFont="1" applyBorder="1" applyAlignment="1" applyProtection="1">
      <alignment horizontal="right" vertical="center" wrapText="1"/>
    </xf>
    <xf numFmtId="0" fontId="11" fillId="0" borderId="0" xfId="25" applyAlignment="1" applyProtection="1">
      <alignment vertical="center"/>
    </xf>
    <xf numFmtId="0" fontId="11" fillId="0" borderId="0" xfId="25" applyAlignment="1" applyProtection="1">
      <alignment horizontal="center" vertical="center"/>
    </xf>
    <xf numFmtId="3" fontId="26" fillId="12" borderId="29" xfId="0" applyNumberFormat="1" applyFont="1" applyFill="1" applyBorder="1" applyAlignment="1" applyProtection="1">
      <alignment horizontal="right" vertical="center" wrapText="1"/>
    </xf>
    <xf numFmtId="4" fontId="26" fillId="0" borderId="75" xfId="0" applyNumberFormat="1" applyFont="1" applyBorder="1" applyAlignment="1" applyProtection="1">
      <alignment horizontal="right" vertical="center" wrapText="1"/>
    </xf>
    <xf numFmtId="3" fontId="27" fillId="0" borderId="29" xfId="0" applyNumberFormat="1" applyFont="1" applyFill="1" applyBorder="1" applyAlignment="1" applyProtection="1">
      <alignment horizontal="right" vertical="center" wrapText="1"/>
    </xf>
    <xf numFmtId="4" fontId="27" fillId="0" borderId="75" xfId="0" applyNumberFormat="1" applyFont="1" applyFill="1" applyBorder="1" applyAlignment="1" applyProtection="1">
      <alignment horizontal="right" vertical="center" wrapText="1"/>
    </xf>
    <xf numFmtId="3" fontId="26" fillId="0" borderId="72" xfId="0" applyNumberFormat="1" applyFont="1" applyFill="1" applyBorder="1" applyAlignment="1" applyProtection="1">
      <alignment horizontal="right" vertical="center" wrapText="1"/>
    </xf>
    <xf numFmtId="4" fontId="26" fillId="0" borderId="73" xfId="0" applyNumberFormat="1" applyFont="1" applyFill="1" applyBorder="1" applyAlignment="1" applyProtection="1">
      <alignment horizontal="right" vertical="center" wrapText="1"/>
    </xf>
    <xf numFmtId="0" fontId="31" fillId="0" borderId="104" xfId="0" applyFont="1" applyBorder="1" applyAlignment="1" applyProtection="1">
      <alignment horizontal="center" vertical="center" wrapText="1"/>
    </xf>
    <xf numFmtId="4" fontId="42" fillId="0" borderId="0" xfId="72" applyNumberFormat="1" applyFont="1" applyFill="1" applyAlignment="1">
      <alignment horizontal="right" vertical="center"/>
    </xf>
    <xf numFmtId="4" fontId="103" fillId="0" borderId="158" xfId="72" applyNumberFormat="1" applyFont="1" applyFill="1" applyBorder="1" applyAlignment="1">
      <alignment horizontal="center" vertical="center" wrapText="1"/>
    </xf>
    <xf numFmtId="4" fontId="42" fillId="0" borderId="97" xfId="43" applyNumberFormat="1" applyFont="1" applyFill="1" applyBorder="1" applyAlignment="1">
      <alignment wrapText="1"/>
    </xf>
    <xf numFmtId="4" fontId="42" fillId="0" borderId="97" xfId="73" applyNumberFormat="1" applyFont="1" applyFill="1" applyBorder="1" applyAlignment="1">
      <alignment horizontal="right" wrapText="1"/>
    </xf>
    <xf numFmtId="4" fontId="42" fillId="0" borderId="99" xfId="43" applyNumberFormat="1" applyFont="1" applyFill="1" applyBorder="1" applyAlignment="1">
      <alignment wrapText="1"/>
    </xf>
    <xf numFmtId="4" fontId="42" fillId="0" borderId="100" xfId="73" applyNumberFormat="1" applyFont="1" applyFill="1" applyBorder="1" applyAlignment="1">
      <alignment horizontal="right" wrapText="1"/>
    </xf>
    <xf numFmtId="0" fontId="41" fillId="0" borderId="0" xfId="0" applyFont="1" applyAlignment="1" applyProtection="1">
      <alignment horizontal="center"/>
      <protection locked="0"/>
    </xf>
    <xf numFmtId="0" fontId="123" fillId="0" borderId="0" xfId="0" applyFont="1" applyAlignment="1" applyProtection="1">
      <alignment horizontal="center"/>
      <protection locked="0"/>
    </xf>
    <xf numFmtId="0" fontId="11" fillId="0" borderId="0" xfId="0" applyFont="1" applyAlignment="1" applyProtection="1">
      <alignment horizontal="center"/>
      <protection locked="0"/>
    </xf>
    <xf numFmtId="1" fontId="11" fillId="0" borderId="0" xfId="0" applyNumberFormat="1" applyFont="1" applyProtection="1">
      <protection locked="0"/>
    </xf>
    <xf numFmtId="2" fontId="1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 fontId="11" fillId="0" borderId="0" xfId="0" applyNumberFormat="1" applyFont="1" applyProtection="1"/>
    <xf numFmtId="0" fontId="120" fillId="0" borderId="0" xfId="0" applyFont="1" applyFill="1" applyAlignment="1" applyProtection="1">
      <alignment horizontal="center"/>
    </xf>
    <xf numFmtId="3" fontId="0" fillId="0" borderId="91" xfId="0" applyNumberFormat="1" applyFill="1" applyBorder="1" applyAlignment="1" applyProtection="1">
      <alignment horizontal="right" vertical="center"/>
    </xf>
    <xf numFmtId="0" fontId="48" fillId="0" borderId="109" xfId="0" applyFont="1" applyFill="1" applyBorder="1" applyAlignment="1" applyProtection="1">
      <alignment horizontal="center" textRotation="90" wrapText="1"/>
    </xf>
    <xf numFmtId="3" fontId="59" fillId="0" borderId="157" xfId="22" applyNumberFormat="1" applyFont="1" applyBorder="1" applyAlignment="1" applyProtection="1">
      <alignment horizontal="right" vertical="center"/>
      <protection locked="0"/>
    </xf>
    <xf numFmtId="0" fontId="54" fillId="0" borderId="0" xfId="0" applyFont="1" applyFill="1" applyBorder="1" applyAlignment="1" applyProtection="1">
      <alignment horizontal="center"/>
    </xf>
    <xf numFmtId="49" fontId="13" fillId="0" borderId="0" xfId="22" applyNumberFormat="1" applyFont="1" applyFill="1" applyAlignment="1" applyProtection="1">
      <alignment horizontal="right" vertical="center"/>
    </xf>
    <xf numFmtId="0" fontId="13" fillId="0" borderId="0" xfId="22" applyFont="1" applyFill="1" applyProtection="1"/>
    <xf numFmtId="0" fontId="59" fillId="0" borderId="0" xfId="0" applyFont="1" applyProtection="1"/>
    <xf numFmtId="4" fontId="13" fillId="0" borderId="0" xfId="37" applyNumberFormat="1" applyFont="1" applyFill="1" applyBorder="1" applyProtection="1"/>
    <xf numFmtId="0" fontId="17" fillId="0" borderId="0" xfId="25" applyFont="1"/>
    <xf numFmtId="1" fontId="13" fillId="0" borderId="0" xfId="0" applyNumberFormat="1" applyFont="1" applyFill="1" applyProtection="1">
      <protection locked="0"/>
    </xf>
    <xf numFmtId="1" fontId="59" fillId="0" borderId="0" xfId="0" applyNumberFormat="1" applyFont="1" applyBorder="1" applyAlignment="1" applyProtection="1">
      <alignment vertical="center"/>
    </xf>
    <xf numFmtId="1" fontId="59" fillId="0" borderId="0" xfId="0" applyNumberFormat="1" applyFont="1" applyProtection="1">
      <protection locked="0"/>
    </xf>
    <xf numFmtId="2" fontId="13" fillId="0" borderId="0" xfId="0" applyNumberFormat="1" applyFont="1" applyProtection="1"/>
    <xf numFmtId="0" fontId="13" fillId="0" borderId="0" xfId="0" applyFont="1" applyProtection="1">
      <protection locked="0"/>
    </xf>
    <xf numFmtId="0" fontId="13" fillId="0" borderId="0" xfId="31" applyFont="1" applyProtection="1"/>
    <xf numFmtId="0" fontId="13" fillId="0" borderId="0" xfId="25" applyFont="1" applyProtection="1"/>
    <xf numFmtId="0" fontId="13" fillId="0" borderId="0" xfId="0" applyFont="1" applyFill="1" applyProtection="1">
      <protection locked="0"/>
    </xf>
    <xf numFmtId="0" fontId="13" fillId="0" borderId="0" xfId="25" applyFont="1" applyFill="1" applyBorder="1" applyAlignment="1" applyProtection="1">
      <alignment horizontal="left" wrapText="1"/>
    </xf>
    <xf numFmtId="0" fontId="13" fillId="0" borderId="0" xfId="25" applyFont="1" applyAlignment="1">
      <alignment horizontal="center"/>
    </xf>
    <xf numFmtId="0" fontId="13" fillId="0" borderId="0" xfId="25" applyFont="1" applyAlignment="1" applyProtection="1">
      <alignment horizontal="center"/>
    </xf>
    <xf numFmtId="1" fontId="13" fillId="0" borderId="0" xfId="22" applyNumberFormat="1" applyFont="1" applyProtection="1"/>
    <xf numFmtId="0" fontId="208" fillId="0" borderId="0" xfId="0" applyFont="1"/>
    <xf numFmtId="0" fontId="64" fillId="0" borderId="0" xfId="0" applyFont="1"/>
    <xf numFmtId="3" fontId="210" fillId="0" borderId="0" xfId="25" applyNumberFormat="1" applyFont="1" applyFill="1" applyBorder="1" applyProtection="1"/>
    <xf numFmtId="4" fontId="38" fillId="0" borderId="0" xfId="72" applyNumberFormat="1" applyFont="1" applyFill="1" applyBorder="1"/>
    <xf numFmtId="4" fontId="38" fillId="0" borderId="0" xfId="72" applyNumberFormat="1" applyFont="1" applyFill="1" applyAlignment="1">
      <alignment horizontal="right"/>
    </xf>
    <xf numFmtId="0" fontId="155" fillId="0" borderId="0" xfId="71" applyFont="1"/>
    <xf numFmtId="0" fontId="155" fillId="0" borderId="0" xfId="71" applyFont="1" applyAlignment="1">
      <alignment horizontal="center"/>
    </xf>
    <xf numFmtId="0" fontId="216" fillId="0" borderId="0" xfId="71" applyFont="1" applyAlignment="1"/>
    <xf numFmtId="0" fontId="159" fillId="0" borderId="0" xfId="71" applyFont="1"/>
    <xf numFmtId="0" fontId="159" fillId="0" borderId="0" xfId="71" applyFont="1" applyAlignment="1"/>
    <xf numFmtId="0" fontId="155" fillId="0" borderId="0" xfId="71" applyFont="1" applyAlignment="1"/>
    <xf numFmtId="0" fontId="155" fillId="0" borderId="0" xfId="71" applyFont="1" applyProtection="1">
      <protection locked="0"/>
    </xf>
    <xf numFmtId="0" fontId="155" fillId="0" borderId="0" xfId="71" applyFont="1" applyAlignment="1" applyProtection="1">
      <protection locked="0"/>
    </xf>
    <xf numFmtId="2" fontId="216" fillId="0" borderId="0" xfId="71" applyNumberFormat="1" applyFont="1" applyProtection="1">
      <protection locked="0"/>
    </xf>
    <xf numFmtId="3" fontId="191" fillId="22" borderId="0" xfId="22" applyNumberFormat="1" applyFont="1" applyFill="1" applyBorder="1" applyAlignment="1" applyProtection="1">
      <alignment horizontal="center" vertical="center"/>
    </xf>
    <xf numFmtId="0" fontId="26" fillId="0" borderId="0" xfId="71" applyFont="1" applyBorder="1" applyAlignment="1" applyProtection="1">
      <alignment vertical="center"/>
    </xf>
    <xf numFmtId="0" fontId="161" fillId="0" borderId="0" xfId="71" applyFont="1" applyAlignment="1" applyProtection="1">
      <protection locked="0"/>
    </xf>
    <xf numFmtId="0" fontId="26" fillId="0" borderId="0" xfId="71" applyFont="1" applyBorder="1" applyAlignment="1" applyProtection="1"/>
    <xf numFmtId="2" fontId="29" fillId="0" borderId="0" xfId="71" applyNumberFormat="1" applyFont="1" applyAlignment="1" applyProtection="1"/>
    <xf numFmtId="3" fontId="59" fillId="0" borderId="74" xfId="25" applyNumberFormat="1" applyFont="1" applyBorder="1" applyAlignment="1" applyProtection="1">
      <alignment horizontal="right" vertical="center"/>
      <protection locked="0"/>
    </xf>
    <xf numFmtId="3" fontId="59" fillId="0" borderId="38" xfId="25" applyNumberFormat="1" applyFont="1" applyBorder="1" applyAlignment="1" applyProtection="1">
      <alignment horizontal="right" vertical="center"/>
      <protection locked="0"/>
    </xf>
    <xf numFmtId="3" fontId="59" fillId="0" borderId="223" xfId="25" applyNumberFormat="1" applyFont="1" applyBorder="1" applyAlignment="1" applyProtection="1">
      <alignment horizontal="right" vertical="center"/>
      <protection locked="0"/>
    </xf>
    <xf numFmtId="3" fontId="59" fillId="0" borderId="157" xfId="22" applyNumberFormat="1" applyFont="1" applyBorder="1" applyAlignment="1" applyProtection="1">
      <alignment horizontal="right" vertical="center"/>
    </xf>
    <xf numFmtId="0" fontId="63" fillId="0" borderId="0" xfId="0" applyFont="1" applyFill="1" applyAlignment="1" applyProtection="1">
      <alignment horizontal="center"/>
    </xf>
    <xf numFmtId="3" fontId="29" fillId="0" borderId="0" xfId="0" applyNumberFormat="1" applyFont="1" applyFill="1" applyAlignment="1" applyProtection="1">
      <alignment horizontal="center"/>
    </xf>
    <xf numFmtId="0" fontId="63" fillId="0" borderId="0" xfId="0" applyFont="1" applyFill="1" applyAlignment="1" applyProtection="1">
      <alignment horizontal="center"/>
      <protection locked="0"/>
    </xf>
    <xf numFmtId="0" fontId="63" fillId="0" borderId="0" xfId="0" applyFont="1" applyAlignment="1" applyProtection="1">
      <alignment horizontal="center"/>
    </xf>
    <xf numFmtId="0" fontId="65" fillId="0" borderId="0" xfId="31" applyFont="1" applyAlignment="1" applyProtection="1">
      <alignment horizontal="center"/>
    </xf>
    <xf numFmtId="0" fontId="29" fillId="0" borderId="0" xfId="0" applyFont="1" applyFill="1" applyAlignment="1" applyProtection="1">
      <alignment horizontal="center"/>
      <protection locked="0"/>
    </xf>
    <xf numFmtId="0" fontId="123" fillId="0" borderId="0" xfId="0" applyFont="1" applyAlignment="1">
      <alignment horizontal="center" vertical="center" wrapText="1"/>
    </xf>
    <xf numFmtId="0" fontId="63" fillId="0" borderId="0" xfId="0" applyFont="1" applyAlignment="1">
      <alignment horizontal="center"/>
    </xf>
    <xf numFmtId="0" fontId="63" fillId="0" borderId="0" xfId="25" applyFont="1" applyAlignment="1">
      <alignment horizontal="center" vertical="center" wrapText="1"/>
    </xf>
    <xf numFmtId="4" fontId="18" fillId="0" borderId="0" xfId="49" applyNumberFormat="1" applyFont="1" applyFill="1" applyBorder="1" applyAlignment="1" applyProtection="1">
      <alignment horizontal="center"/>
      <protection locked="0"/>
    </xf>
    <xf numFmtId="4" fontId="12" fillId="0" borderId="0" xfId="49" applyNumberFormat="1" applyFont="1" applyFill="1" applyBorder="1" applyProtection="1">
      <protection locked="0"/>
    </xf>
    <xf numFmtId="3" fontId="11" fillId="13" borderId="29" xfId="0" applyNumberFormat="1" applyFont="1" applyFill="1" applyBorder="1" applyAlignment="1" applyProtection="1">
      <alignment horizontal="right" vertical="center" wrapText="1"/>
    </xf>
    <xf numFmtId="0" fontId="31" fillId="0" borderId="100" xfId="0" applyNumberFormat="1" applyFont="1" applyFill="1" applyBorder="1" applyAlignment="1" applyProtection="1">
      <alignment horizontal="center" vertical="center" wrapText="1"/>
    </xf>
    <xf numFmtId="3" fontId="29" fillId="0" borderId="100" xfId="0" applyNumberFormat="1" applyFont="1" applyFill="1" applyBorder="1" applyAlignment="1" applyProtection="1">
      <alignment vertical="center"/>
    </xf>
    <xf numFmtId="3" fontId="29" fillId="0" borderId="102" xfId="0" applyNumberFormat="1" applyFont="1" applyFill="1" applyBorder="1" applyAlignment="1" applyProtection="1">
      <alignment vertical="center"/>
    </xf>
    <xf numFmtId="1" fontId="71" fillId="0" borderId="101" xfId="0" applyNumberFormat="1" applyFont="1" applyFill="1" applyBorder="1" applyAlignment="1" applyProtection="1">
      <alignment vertical="center" wrapText="1"/>
    </xf>
    <xf numFmtId="1" fontId="218" fillId="24" borderId="0" xfId="52" applyNumberFormat="1" applyFont="1" applyFill="1" applyAlignment="1" applyProtection="1">
      <alignment horizontal="center"/>
    </xf>
    <xf numFmtId="0" fontId="74" fillId="0" borderId="0" xfId="25" applyFont="1" applyFill="1" applyProtection="1"/>
    <xf numFmtId="0" fontId="65" fillId="0" borderId="0" xfId="0" applyFont="1" applyAlignment="1">
      <alignment vertical="center"/>
    </xf>
    <xf numFmtId="0" fontId="63" fillId="0" borderId="0" xfId="0" applyFont="1" applyAlignment="1">
      <alignment vertical="center"/>
    </xf>
    <xf numFmtId="0" fontId="41" fillId="0" borderId="0" xfId="0" applyFont="1" applyFill="1" applyBorder="1" applyAlignment="1" applyProtection="1">
      <alignment horizontal="center"/>
    </xf>
    <xf numFmtId="0" fontId="63" fillId="0" borderId="0" xfId="0" applyFont="1" applyFill="1" applyAlignment="1" applyProtection="1">
      <alignment horizontal="center"/>
    </xf>
    <xf numFmtId="0" fontId="31" fillId="0" borderId="0" xfId="0" applyFont="1" applyFill="1" applyBorder="1" applyAlignment="1" applyProtection="1">
      <alignment horizontal="center"/>
    </xf>
    <xf numFmtId="0" fontId="220" fillId="0" borderId="224" xfId="22" applyFont="1" applyBorder="1" applyAlignment="1" applyProtection="1">
      <alignment horizontal="center" vertical="center" wrapText="1"/>
    </xf>
    <xf numFmtId="0" fontId="221" fillId="0" borderId="0" xfId="0" applyFont="1" applyAlignment="1">
      <alignment vertical="center"/>
    </xf>
    <xf numFmtId="2" fontId="50" fillId="17" borderId="0" xfId="0" applyNumberFormat="1" applyFont="1" applyFill="1" applyAlignment="1" applyProtection="1">
      <alignment vertical="center"/>
    </xf>
    <xf numFmtId="0" fontId="221" fillId="0" borderId="0" xfId="0" applyFont="1" applyFill="1" applyAlignment="1">
      <alignment vertical="center"/>
    </xf>
    <xf numFmtId="2" fontId="222" fillId="17" borderId="0" xfId="0" applyNumberFormat="1" applyFont="1" applyFill="1" applyAlignment="1" applyProtection="1">
      <alignment vertical="center"/>
    </xf>
    <xf numFmtId="2" fontId="50" fillId="0" borderId="0" xfId="0" applyNumberFormat="1" applyFont="1" applyFill="1" applyAlignment="1" applyProtection="1">
      <alignment vertical="center"/>
    </xf>
    <xf numFmtId="0" fontId="26" fillId="0" borderId="0" xfId="0" applyFont="1" applyFill="1" applyAlignment="1">
      <alignment vertical="center"/>
    </xf>
    <xf numFmtId="0" fontId="26" fillId="0" borderId="0" xfId="0" applyFont="1" applyFill="1" applyAlignment="1" applyProtection="1">
      <alignment vertical="center"/>
    </xf>
    <xf numFmtId="0" fontId="28" fillId="0" borderId="0" xfId="0" applyFont="1" applyFill="1" applyAlignment="1" applyProtection="1">
      <alignment horizontal="center" vertical="center"/>
    </xf>
    <xf numFmtId="0" fontId="15" fillId="0" borderId="0" xfId="0" applyFont="1" applyFill="1" applyAlignment="1" applyProtection="1">
      <alignment vertical="center"/>
    </xf>
    <xf numFmtId="3" fontId="28" fillId="18" borderId="0" xfId="0" applyNumberFormat="1" applyFont="1" applyFill="1" applyBorder="1" applyAlignment="1" applyProtection="1">
      <alignment vertical="center"/>
    </xf>
    <xf numFmtId="3" fontId="28" fillId="20" borderId="0" xfId="0" applyNumberFormat="1" applyFont="1" applyFill="1" applyBorder="1" applyAlignment="1" applyProtection="1">
      <alignment vertical="center"/>
    </xf>
    <xf numFmtId="3" fontId="50" fillId="18" borderId="0" xfId="0" applyNumberFormat="1" applyFont="1" applyFill="1" applyBorder="1" applyAlignment="1" applyProtection="1">
      <alignment vertical="center"/>
    </xf>
    <xf numFmtId="3" fontId="50" fillId="20" borderId="0" xfId="0" applyNumberFormat="1" applyFont="1" applyFill="1" applyBorder="1" applyAlignment="1" applyProtection="1">
      <alignment vertical="center"/>
    </xf>
    <xf numFmtId="3" fontId="28" fillId="19" borderId="0" xfId="0" applyNumberFormat="1" applyFont="1" applyFill="1" applyBorder="1" applyAlignment="1" applyProtection="1">
      <alignment vertical="center"/>
    </xf>
    <xf numFmtId="3" fontId="205" fillId="18" borderId="0" xfId="0" applyNumberFormat="1" applyFont="1" applyFill="1" applyBorder="1" applyAlignment="1" applyProtection="1">
      <alignment vertical="center"/>
    </xf>
    <xf numFmtId="3" fontId="206" fillId="18" borderId="0" xfId="0" applyNumberFormat="1" applyFont="1" applyFill="1" applyBorder="1" applyAlignment="1" applyProtection="1">
      <alignment vertical="center"/>
    </xf>
    <xf numFmtId="3" fontId="28" fillId="0" borderId="0" xfId="0" applyNumberFormat="1" applyFont="1" applyFill="1" applyBorder="1" applyAlignment="1" applyProtection="1">
      <alignment horizontal="center" vertical="center"/>
    </xf>
    <xf numFmtId="0" fontId="118" fillId="0" borderId="0" xfId="0" applyFont="1" applyFill="1" applyAlignment="1" applyProtection="1">
      <alignment vertical="center"/>
    </xf>
    <xf numFmtId="3" fontId="118" fillId="0" borderId="0" xfId="0" applyNumberFormat="1" applyFont="1" applyFill="1" applyBorder="1" applyAlignment="1" applyProtection="1">
      <alignment vertical="center"/>
    </xf>
    <xf numFmtId="0" fontId="50" fillId="0" borderId="0" xfId="0" applyFont="1" applyFill="1" applyAlignment="1" applyProtection="1">
      <alignment vertical="center"/>
    </xf>
    <xf numFmtId="0" fontId="31" fillId="0" borderId="0" xfId="0" applyFont="1" applyFill="1" applyBorder="1" applyAlignment="1" applyProtection="1">
      <alignment horizontal="center" vertical="center" wrapText="1"/>
    </xf>
    <xf numFmtId="3" fontId="26"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protection locked="0"/>
    </xf>
    <xf numFmtId="3" fontId="32" fillId="0" borderId="0" xfId="0" applyNumberFormat="1" applyFont="1" applyFill="1" applyBorder="1" applyAlignment="1" applyProtection="1">
      <alignment horizontal="right" vertical="center"/>
      <protection locked="0"/>
    </xf>
    <xf numFmtId="3" fontId="41" fillId="0" borderId="0" xfId="0" applyNumberFormat="1" applyFont="1" applyFill="1" applyBorder="1" applyAlignment="1" applyProtection="1">
      <alignment horizontal="right" vertical="center"/>
    </xf>
    <xf numFmtId="3" fontId="64" fillId="0" borderId="0" xfId="0" applyNumberFormat="1" applyFont="1" applyFill="1" applyBorder="1" applyAlignment="1" applyProtection="1">
      <alignment horizontal="right" vertical="center"/>
    </xf>
    <xf numFmtId="3" fontId="63" fillId="0" borderId="0" xfId="0" applyNumberFormat="1" applyFont="1" applyFill="1" applyBorder="1" applyAlignment="1" applyProtection="1">
      <alignment horizontal="right" vertical="center"/>
    </xf>
    <xf numFmtId="3" fontId="26" fillId="0" borderId="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horizontal="center" vertical="center" wrapText="1"/>
    </xf>
    <xf numFmtId="3" fontId="53" fillId="18" borderId="0" xfId="0" applyNumberFormat="1" applyFont="1" applyFill="1" applyBorder="1" applyAlignment="1" applyProtection="1">
      <alignment vertical="center"/>
    </xf>
    <xf numFmtId="0" fontId="63" fillId="0" borderId="0" xfId="36" applyFont="1" applyFill="1" applyAlignment="1" applyProtection="1">
      <alignment horizontal="center" vertical="top"/>
    </xf>
    <xf numFmtId="0" fontId="65" fillId="0" borderId="0" xfId="0" applyFont="1" applyFill="1" applyBorder="1" applyAlignment="1" applyProtection="1"/>
    <xf numFmtId="0" fontId="63" fillId="0" borderId="0" xfId="0" applyFont="1" applyFill="1" applyBorder="1" applyAlignment="1" applyProtection="1">
      <alignment horizontal="center"/>
    </xf>
    <xf numFmtId="3" fontId="17" fillId="0" borderId="29" xfId="35" applyNumberFormat="1" applyFont="1" applyFill="1" applyBorder="1" applyAlignment="1" applyProtection="1">
      <alignment horizontal="right" vertical="center"/>
    </xf>
    <xf numFmtId="3" fontId="17" fillId="0" borderId="29" xfId="35" applyNumberFormat="1" applyFont="1" applyFill="1" applyBorder="1" applyAlignment="1" applyProtection="1">
      <alignment horizontal="right" vertical="center"/>
      <protection locked="0"/>
    </xf>
    <xf numFmtId="3" fontId="12" fillId="0" borderId="0" xfId="39" applyNumberFormat="1"/>
    <xf numFmtId="3" fontId="12" fillId="0" borderId="0" xfId="39" applyNumberFormat="1" applyBorder="1"/>
    <xf numFmtId="3" fontId="12" fillId="0" borderId="0" xfId="39" applyNumberFormat="1" applyFont="1" applyFill="1"/>
    <xf numFmtId="0" fontId="63" fillId="0" borderId="0" xfId="0" applyFont="1" applyAlignment="1" applyProtection="1">
      <alignment horizontal="center"/>
    </xf>
    <xf numFmtId="2" fontId="29" fillId="0" borderId="0" xfId="22" applyNumberFormat="1" applyFont="1" applyBorder="1" applyAlignment="1" applyProtection="1">
      <alignment horizontal="center" vertical="center" wrapText="1"/>
    </xf>
    <xf numFmtId="0" fontId="222" fillId="25" borderId="0" xfId="0" applyFont="1" applyFill="1" applyAlignment="1" applyProtection="1">
      <alignment vertical="center"/>
      <protection locked="0"/>
    </xf>
    <xf numFmtId="3" fontId="218" fillId="26" borderId="0" xfId="0" applyNumberFormat="1" applyFont="1" applyFill="1" applyAlignment="1" applyProtection="1">
      <alignment horizontal="center" vertical="center"/>
    </xf>
    <xf numFmtId="0" fontId="58" fillId="0" borderId="0" xfId="36" applyFont="1" applyFill="1" applyAlignment="1" applyProtection="1">
      <alignment horizontal="center" vertical="center"/>
    </xf>
    <xf numFmtId="168" fontId="28" fillId="10" borderId="37" xfId="36" applyNumberFormat="1" applyFont="1" applyFill="1" applyBorder="1" applyAlignment="1" applyProtection="1">
      <alignment horizontal="center" vertical="center"/>
    </xf>
    <xf numFmtId="3" fontId="27" fillId="0" borderId="91" xfId="36" applyNumberFormat="1" applyFont="1" applyFill="1" applyBorder="1" applyAlignment="1" applyProtection="1">
      <alignment horizontal="right" vertical="center"/>
    </xf>
    <xf numFmtId="3" fontId="27" fillId="0" borderId="91" xfId="36" applyNumberFormat="1" applyFont="1" applyFill="1" applyBorder="1" applyAlignment="1" applyProtection="1">
      <alignment horizontal="right" vertical="center"/>
      <protection locked="0"/>
    </xf>
    <xf numFmtId="0" fontId="44" fillId="0" borderId="0" xfId="36" applyFont="1" applyFill="1" applyAlignment="1" applyProtection="1">
      <alignment vertical="center"/>
    </xf>
    <xf numFmtId="3" fontId="12" fillId="0" borderId="157" xfId="36" applyNumberFormat="1" applyFont="1" applyFill="1" applyBorder="1" applyAlignment="1" applyProtection="1">
      <alignment horizontal="center" vertical="center"/>
    </xf>
    <xf numFmtId="3" fontId="27" fillId="0" borderId="157" xfId="36" applyNumberFormat="1" applyFont="1" applyFill="1" applyBorder="1" applyAlignment="1" applyProtection="1">
      <alignment horizontal="right" vertical="center"/>
    </xf>
    <xf numFmtId="3" fontId="27" fillId="0" borderId="157" xfId="36" applyNumberFormat="1" applyFont="1" applyFill="1" applyBorder="1" applyAlignment="1" applyProtection="1">
      <alignment horizontal="right" vertical="center"/>
      <protection locked="0"/>
    </xf>
    <xf numFmtId="0" fontId="27" fillId="0" borderId="157" xfId="36" applyFont="1" applyFill="1" applyBorder="1" applyAlignment="1" applyProtection="1">
      <alignment vertical="center"/>
    </xf>
    <xf numFmtId="0" fontId="44" fillId="0" borderId="16" xfId="35" applyFont="1" applyFill="1" applyBorder="1" applyAlignment="1" applyProtection="1">
      <alignment horizontal="center" vertical="center"/>
    </xf>
    <xf numFmtId="0" fontId="44" fillId="0" borderId="3" xfId="35" applyFont="1" applyFill="1" applyBorder="1" applyAlignment="1" applyProtection="1">
      <alignment horizontal="center" vertical="center"/>
    </xf>
    <xf numFmtId="0" fontId="44" fillId="0" borderId="4" xfId="35" applyFont="1" applyFill="1" applyBorder="1" applyAlignment="1" applyProtection="1">
      <alignment horizontal="center" vertical="center"/>
    </xf>
    <xf numFmtId="0" fontId="44" fillId="0" borderId="26" xfId="35" applyFont="1" applyFill="1" applyBorder="1" applyAlignment="1" applyProtection="1">
      <alignment horizontal="center" vertical="center"/>
    </xf>
    <xf numFmtId="0" fontId="44" fillId="0" borderId="5" xfId="35" applyFont="1" applyFill="1" applyBorder="1" applyAlignment="1" applyProtection="1">
      <alignment horizontal="center" vertical="center"/>
    </xf>
    <xf numFmtId="0" fontId="44" fillId="0" borderId="0" xfId="35" applyFont="1" applyFill="1" applyAlignment="1" applyProtection="1">
      <alignment vertical="center"/>
    </xf>
    <xf numFmtId="0" fontId="74" fillId="0" borderId="10" xfId="36" applyFont="1" applyFill="1" applyBorder="1" applyAlignment="1" applyProtection="1">
      <alignment vertical="center" wrapText="1"/>
    </xf>
    <xf numFmtId="0" fontId="74" fillId="0" borderId="35" xfId="22" applyFont="1" applyFill="1" applyBorder="1" applyAlignment="1">
      <alignment horizontal="left" vertical="center" wrapText="1"/>
    </xf>
    <xf numFmtId="0" fontId="31" fillId="0" borderId="131" xfId="22" applyFont="1" applyFill="1" applyBorder="1" applyAlignment="1" applyProtection="1">
      <alignment horizontal="left"/>
    </xf>
    <xf numFmtId="2" fontId="29" fillId="0" borderId="0" xfId="39" applyNumberFormat="1" applyFont="1" applyBorder="1" applyAlignment="1" applyProtection="1">
      <alignment vertical="center" wrapText="1"/>
    </xf>
    <xf numFmtId="3" fontId="12" fillId="0" borderId="72" xfId="22" applyNumberFormat="1" applyFont="1" applyBorder="1" applyAlignment="1" applyProtection="1">
      <alignment vertical="center"/>
    </xf>
    <xf numFmtId="3" fontId="12" fillId="0" borderId="39" xfId="22" applyNumberFormat="1" applyBorder="1" applyAlignment="1" applyProtection="1">
      <alignment horizontal="center" vertical="center"/>
    </xf>
    <xf numFmtId="3" fontId="53" fillId="24" borderId="0" xfId="0" applyNumberFormat="1" applyFont="1" applyFill="1" applyBorder="1" applyAlignment="1" applyProtection="1">
      <alignment horizontal="center"/>
    </xf>
    <xf numFmtId="0" fontId="12" fillId="0" borderId="72" xfId="22" applyFont="1" applyBorder="1" applyAlignment="1" applyProtection="1">
      <alignment vertical="center"/>
    </xf>
    <xf numFmtId="0" fontId="12" fillId="0" borderId="39" xfId="22" applyFont="1" applyFill="1" applyBorder="1" applyAlignment="1" applyProtection="1">
      <alignment horizontal="left" vertical="center" wrapText="1"/>
    </xf>
    <xf numFmtId="0" fontId="31" fillId="0" borderId="72" xfId="22" applyFont="1" applyFill="1" applyBorder="1" applyAlignment="1" applyProtection="1">
      <alignment vertical="center"/>
    </xf>
    <xf numFmtId="0" fontId="31" fillId="0" borderId="32" xfId="22" applyFont="1" applyFill="1" applyBorder="1" applyAlignment="1" applyProtection="1">
      <alignment horizontal="left" vertical="center"/>
    </xf>
    <xf numFmtId="3" fontId="16" fillId="0" borderId="29" xfId="0" applyNumberFormat="1" applyFont="1" applyFill="1" applyBorder="1" applyAlignment="1" applyProtection="1">
      <alignment horizontal="right" vertical="center" wrapText="1"/>
      <protection locked="0"/>
    </xf>
    <xf numFmtId="4" fontId="16" fillId="0" borderId="75" xfId="0" applyNumberFormat="1" applyFont="1" applyFill="1" applyBorder="1" applyAlignment="1" applyProtection="1">
      <alignment horizontal="right" vertical="center" wrapText="1"/>
      <protection locked="0"/>
    </xf>
    <xf numFmtId="4" fontId="27" fillId="0" borderId="228" xfId="34" applyNumberFormat="1" applyFont="1" applyFill="1" applyBorder="1" applyAlignment="1" applyProtection="1">
      <alignment horizontal="justify" vertical="center" wrapText="1"/>
      <protection locked="0"/>
    </xf>
    <xf numFmtId="4" fontId="27" fillId="0" borderId="229" xfId="34" applyNumberFormat="1" applyFont="1" applyFill="1" applyBorder="1" applyAlignment="1" applyProtection="1">
      <alignment horizontal="justify" vertical="center" wrapText="1"/>
      <protection locked="0"/>
    </xf>
    <xf numFmtId="0" fontId="31" fillId="0" borderId="42" xfId="0" applyFont="1" applyBorder="1" applyAlignment="1" applyProtection="1">
      <alignment horizontal="center" wrapText="1"/>
    </xf>
    <xf numFmtId="0" fontId="31" fillId="0" borderId="59" xfId="0" applyFont="1" applyBorder="1" applyAlignment="1" applyProtection="1">
      <alignment horizontal="center" wrapText="1"/>
    </xf>
    <xf numFmtId="170" fontId="26" fillId="0" borderId="79" xfId="22" applyNumberFormat="1" applyFont="1" applyFill="1" applyBorder="1" applyAlignment="1" applyProtection="1">
      <alignment horizontal="left" vertical="center" wrapText="1"/>
    </xf>
    <xf numFmtId="3" fontId="27" fillId="0" borderId="115" xfId="22" applyNumberFormat="1" applyFont="1" applyFill="1" applyBorder="1" applyAlignment="1" applyProtection="1">
      <alignment horizontal="left" vertical="center" wrapText="1"/>
    </xf>
    <xf numFmtId="170" fontId="26" fillId="0" borderId="112" xfId="22" applyNumberFormat="1" applyFont="1" applyFill="1" applyBorder="1" applyAlignment="1" applyProtection="1">
      <alignment horizontal="left" vertical="center" wrapText="1"/>
    </xf>
    <xf numFmtId="170" fontId="26" fillId="0" borderId="112" xfId="42" applyNumberFormat="1" applyFont="1" applyFill="1" applyBorder="1" applyAlignment="1" applyProtection="1">
      <alignment horizontal="left" vertical="center" wrapText="1"/>
      <protection locked="0"/>
    </xf>
    <xf numFmtId="170" fontId="27" fillId="0" borderId="112" xfId="42" applyNumberFormat="1" applyFont="1" applyFill="1" applyBorder="1" applyAlignment="1" applyProtection="1">
      <alignment horizontal="left" vertical="center" wrapText="1"/>
      <protection locked="0"/>
    </xf>
    <xf numFmtId="170" fontId="27" fillId="0" borderId="112" xfId="22" applyNumberFormat="1" applyFont="1" applyFill="1" applyBorder="1" applyAlignment="1" applyProtection="1">
      <alignment vertical="center" wrapText="1"/>
    </xf>
    <xf numFmtId="170" fontId="26" fillId="0" borderId="112" xfId="22" applyNumberFormat="1" applyFont="1" applyFill="1" applyBorder="1" applyAlignment="1" applyProtection="1">
      <alignment vertical="center" wrapText="1"/>
    </xf>
    <xf numFmtId="4" fontId="26" fillId="0" borderId="112" xfId="22" applyNumberFormat="1" applyFont="1" applyFill="1" applyBorder="1" applyAlignment="1" applyProtection="1">
      <alignment vertical="center" wrapText="1"/>
    </xf>
    <xf numFmtId="4" fontId="27" fillId="0" borderId="227" xfId="22" applyNumberFormat="1" applyFont="1" applyFill="1" applyBorder="1" applyAlignment="1" applyProtection="1">
      <alignment vertical="center" wrapText="1"/>
    </xf>
    <xf numFmtId="4" fontId="202" fillId="0" borderId="228" xfId="34" applyNumberFormat="1" applyFont="1" applyFill="1" applyBorder="1" applyAlignment="1" applyProtection="1">
      <alignment horizontal="justify" vertical="center" wrapText="1"/>
      <protection locked="0"/>
    </xf>
    <xf numFmtId="4" fontId="26" fillId="0" borderId="112" xfId="34" applyNumberFormat="1" applyFont="1" applyFill="1" applyBorder="1" applyAlignment="1" applyProtection="1">
      <alignment horizontal="justify" vertical="center" wrapText="1"/>
      <protection locked="0"/>
    </xf>
    <xf numFmtId="4" fontId="27" fillId="0" borderId="112" xfId="22" applyNumberFormat="1" applyFont="1" applyFill="1" applyBorder="1" applyAlignment="1" applyProtection="1">
      <alignment vertical="center" wrapText="1"/>
    </xf>
    <xf numFmtId="2" fontId="199" fillId="0" borderId="0" xfId="0" applyNumberFormat="1" applyFont="1" applyFill="1" applyProtection="1"/>
    <xf numFmtId="3" fontId="223" fillId="0" borderId="0" xfId="0" applyNumberFormat="1" applyFont="1" applyFill="1" applyProtection="1"/>
    <xf numFmtId="0" fontId="199" fillId="0" borderId="0" xfId="0" applyFont="1" applyFill="1" applyProtection="1"/>
    <xf numFmtId="2" fontId="224" fillId="0" borderId="0" xfId="0" applyNumberFormat="1" applyFont="1" applyFill="1" applyAlignment="1" applyProtection="1">
      <alignment horizontal="center"/>
    </xf>
    <xf numFmtId="2" fontId="0" fillId="0" borderId="0" xfId="0" applyNumberFormat="1" applyFill="1" applyAlignment="1" applyProtection="1">
      <alignment vertical="center"/>
    </xf>
    <xf numFmtId="2" fontId="17" fillId="0" borderId="0" xfId="0" applyNumberFormat="1" applyFont="1" applyFill="1" applyAlignment="1" applyProtection="1">
      <alignment vertical="center"/>
    </xf>
    <xf numFmtId="2" fontId="91" fillId="0" borderId="0" xfId="0" applyNumberFormat="1" applyFont="1" applyFill="1" applyAlignment="1" applyProtection="1">
      <alignment vertical="center"/>
    </xf>
    <xf numFmtId="2" fontId="224" fillId="0" borderId="0" xfId="0" applyNumberFormat="1" applyFont="1" applyFill="1" applyAlignment="1" applyProtection="1">
      <alignment vertical="center"/>
    </xf>
    <xf numFmtId="2" fontId="104" fillId="0" borderId="0" xfId="0" applyNumberFormat="1" applyFont="1" applyFill="1" applyAlignment="1" applyProtection="1">
      <alignment vertical="center"/>
    </xf>
    <xf numFmtId="0" fontId="41" fillId="0" borderId="0" xfId="0" applyFont="1" applyAlignment="1" applyProtection="1">
      <alignment horizontal="center"/>
    </xf>
    <xf numFmtId="0" fontId="123" fillId="0" borderId="0" xfId="0" applyFont="1" applyAlignment="1" applyProtection="1">
      <alignment horizontal="center"/>
    </xf>
    <xf numFmtId="4" fontId="190" fillId="24" borderId="0" xfId="22" applyNumberFormat="1" applyFont="1" applyFill="1" applyAlignment="1" applyProtection="1">
      <alignment vertical="center"/>
    </xf>
    <xf numFmtId="0" fontId="42" fillId="0" borderId="0" xfId="39" applyFont="1" applyBorder="1" applyProtection="1"/>
    <xf numFmtId="0" fontId="42" fillId="0" borderId="0" xfId="39" applyFont="1" applyBorder="1" applyAlignment="1" applyProtection="1"/>
    <xf numFmtId="0" fontId="12" fillId="0" borderId="0" xfId="39" applyFont="1" applyBorder="1" applyAlignment="1" applyProtection="1"/>
    <xf numFmtId="0" fontId="98" fillId="0" borderId="0" xfId="39" applyFont="1" applyBorder="1" applyAlignment="1" applyProtection="1"/>
    <xf numFmtId="0" fontId="190" fillId="22" borderId="0" xfId="0" applyFont="1" applyFill="1" applyAlignment="1" applyProtection="1">
      <alignment vertical="center"/>
    </xf>
    <xf numFmtId="0" fontId="54" fillId="0" borderId="0" xfId="38" applyFont="1" applyBorder="1" applyAlignment="1" applyProtection="1">
      <alignment vertical="center"/>
    </xf>
    <xf numFmtId="0" fontId="14" fillId="0" borderId="0" xfId="38" applyAlignment="1" applyProtection="1">
      <alignment vertical="center"/>
    </xf>
    <xf numFmtId="0" fontId="14" fillId="0" borderId="0" xfId="38" applyAlignment="1" applyProtection="1">
      <alignment horizontal="left"/>
    </xf>
    <xf numFmtId="0" fontId="227" fillId="0" borderId="0" xfId="38" applyFont="1" applyAlignment="1" applyProtection="1">
      <alignment horizontal="center" vertical="center"/>
    </xf>
    <xf numFmtId="0" fontId="228" fillId="0" borderId="0" xfId="38" applyFont="1" applyBorder="1" applyAlignment="1" applyProtection="1">
      <alignment horizontal="center" vertical="center"/>
    </xf>
    <xf numFmtId="0" fontId="227" fillId="0" borderId="0" xfId="38" applyFont="1" applyFill="1" applyAlignment="1" applyProtection="1">
      <alignment horizontal="center" vertical="center"/>
    </xf>
    <xf numFmtId="3" fontId="227" fillId="0" borderId="0" xfId="38" applyNumberFormat="1" applyFont="1" applyFill="1" applyAlignment="1" applyProtection="1">
      <alignment horizontal="center" vertical="center"/>
    </xf>
    <xf numFmtId="3" fontId="227" fillId="10" borderId="0" xfId="38" applyNumberFormat="1" applyFont="1" applyFill="1" applyAlignment="1" applyProtection="1">
      <alignment horizontal="center" vertical="center"/>
    </xf>
    <xf numFmtId="0" fontId="14" fillId="16" borderId="0" xfId="38" applyFill="1" applyProtection="1"/>
    <xf numFmtId="0" fontId="14" fillId="16" borderId="0" xfId="38" applyFill="1" applyAlignment="1" applyProtection="1">
      <alignment vertical="center"/>
    </xf>
    <xf numFmtId="4" fontId="13" fillId="0" borderId="0" xfId="0" applyNumberFormat="1" applyFont="1"/>
    <xf numFmtId="3" fontId="14" fillId="0" borderId="0" xfId="38" applyNumberFormat="1" applyProtection="1"/>
    <xf numFmtId="49" fontId="11" fillId="0" borderId="101" xfId="0" applyNumberFormat="1" applyFont="1" applyBorder="1" applyAlignment="1">
      <alignment vertical="center" wrapText="1"/>
    </xf>
    <xf numFmtId="0" fontId="79" fillId="0" borderId="0" xfId="0" applyFont="1" applyFill="1" applyAlignment="1" applyProtection="1">
      <alignment horizontal="center"/>
      <protection locked="0"/>
    </xf>
    <xf numFmtId="0" fontId="0" fillId="27" borderId="101" xfId="0" applyFill="1" applyBorder="1" applyAlignment="1">
      <alignment vertical="center" wrapText="1"/>
    </xf>
    <xf numFmtId="0" fontId="0" fillId="27" borderId="91" xfId="0" applyFill="1" applyBorder="1" applyAlignment="1">
      <alignment horizontal="center" vertical="center"/>
    </xf>
    <xf numFmtId="0" fontId="11" fillId="0" borderId="0" xfId="0" applyFont="1" applyFill="1" applyAlignment="1">
      <alignment horizontal="right" vertical="center"/>
    </xf>
    <xf numFmtId="0" fontId="0" fillId="0" borderId="0" xfId="0" applyFill="1" applyAlignment="1"/>
    <xf numFmtId="3" fontId="139" fillId="0" borderId="91" xfId="0" applyNumberFormat="1" applyFont="1" applyFill="1" applyBorder="1" applyAlignment="1" applyProtection="1">
      <alignment vertical="center"/>
      <protection locked="0"/>
    </xf>
    <xf numFmtId="3" fontId="11" fillId="0" borderId="91" xfId="0" applyNumberFormat="1" applyFont="1" applyFill="1" applyBorder="1" applyAlignment="1" applyProtection="1">
      <alignment vertical="center"/>
      <protection locked="0"/>
    </xf>
    <xf numFmtId="3" fontId="41" fillId="0" borderId="97" xfId="0" applyNumberFormat="1" applyFont="1" applyFill="1" applyBorder="1" applyAlignment="1">
      <alignment vertical="center"/>
    </xf>
    <xf numFmtId="3" fontId="41" fillId="0" borderId="98" xfId="0" applyNumberFormat="1" applyFont="1" applyFill="1" applyBorder="1" applyAlignment="1">
      <alignment vertical="center"/>
    </xf>
    <xf numFmtId="0" fontId="17" fillId="0" borderId="0" xfId="0" applyFont="1" applyFill="1" applyAlignment="1">
      <alignment vertical="center" wrapText="1"/>
    </xf>
    <xf numFmtId="0" fontId="59" fillId="0" borderId="0" xfId="0" applyFont="1" applyFill="1" applyAlignment="1">
      <alignment vertical="center"/>
    </xf>
    <xf numFmtId="0" fontId="123" fillId="0" borderId="0" xfId="0" applyFont="1" applyFill="1" applyAlignment="1" applyProtection="1">
      <alignment horizontal="center"/>
      <protection locked="0"/>
    </xf>
    <xf numFmtId="0" fontId="174" fillId="0" borderId="0" xfId="52" applyFont="1" applyFill="1" applyAlignment="1" applyProtection="1">
      <alignment horizontal="center"/>
    </xf>
    <xf numFmtId="3" fontId="27" fillId="0" borderId="76" xfId="0" applyNumberFormat="1" applyFont="1" applyFill="1" applyBorder="1" applyAlignment="1" applyProtection="1">
      <alignment horizontal="right" vertical="center" wrapText="1"/>
      <protection locked="0"/>
    </xf>
    <xf numFmtId="4" fontId="27" fillId="0" borderId="77" xfId="0" applyNumberFormat="1" applyFont="1" applyFill="1" applyBorder="1" applyAlignment="1" applyProtection="1">
      <alignment horizontal="right" vertical="center" wrapText="1"/>
      <protection locked="0"/>
    </xf>
    <xf numFmtId="0" fontId="79" fillId="0" borderId="0" xfId="0" applyFont="1" applyAlignment="1" applyProtection="1">
      <alignment horizontal="center"/>
    </xf>
    <xf numFmtId="0" fontId="29" fillId="0" borderId="0" xfId="0" applyFont="1" applyAlignment="1" applyProtection="1">
      <alignment horizontal="center"/>
    </xf>
    <xf numFmtId="0" fontId="16" fillId="0" borderId="0" xfId="0" applyFont="1" applyAlignment="1" applyProtection="1">
      <alignment horizontal="center"/>
    </xf>
    <xf numFmtId="0" fontId="16" fillId="0" borderId="0" xfId="0" applyFont="1" applyBorder="1" applyAlignment="1" applyProtection="1">
      <alignment horizontal="center" vertical="center" wrapText="1"/>
    </xf>
    <xf numFmtId="0" fontId="28" fillId="24" borderId="0" xfId="53" applyFont="1" applyFill="1" applyProtection="1"/>
    <xf numFmtId="0" fontId="16" fillId="0" borderId="0" xfId="0" applyFont="1" applyAlignment="1" applyProtection="1">
      <alignment horizontal="center"/>
    </xf>
    <xf numFmtId="2" fontId="41" fillId="0" borderId="158" xfId="0" applyNumberFormat="1" applyFont="1" applyBorder="1" applyAlignment="1" applyProtection="1">
      <alignment horizontal="center" vertical="center"/>
    </xf>
    <xf numFmtId="2" fontId="41" fillId="0" borderId="159" xfId="0" applyNumberFormat="1" applyFont="1" applyBorder="1" applyAlignment="1" applyProtection="1">
      <alignment horizontal="center" vertical="center"/>
    </xf>
    <xf numFmtId="2" fontId="41" fillId="0" borderId="160" xfId="0" applyNumberFormat="1" applyFont="1" applyBorder="1" applyAlignment="1" applyProtection="1">
      <alignment horizontal="center" vertical="center"/>
    </xf>
    <xf numFmtId="2" fontId="0" fillId="0" borderId="0" xfId="0" applyNumberFormat="1" applyAlignment="1" applyProtection="1"/>
    <xf numFmtId="3" fontId="0" fillId="0" borderId="230" xfId="0" applyNumberFormat="1" applyBorder="1" applyAlignment="1" applyProtection="1">
      <alignment horizontal="center" vertical="center"/>
    </xf>
    <xf numFmtId="2" fontId="11" fillId="0" borderId="231" xfId="0" applyNumberFormat="1" applyFont="1" applyBorder="1" applyAlignment="1" applyProtection="1">
      <alignment vertical="center" wrapText="1"/>
    </xf>
    <xf numFmtId="3" fontId="0" fillId="0" borderId="232" xfId="0" applyNumberFormat="1" applyBorder="1" applyAlignment="1" applyProtection="1">
      <alignment horizontal="right" vertical="center"/>
      <protection locked="0"/>
    </xf>
    <xf numFmtId="3" fontId="0" fillId="0" borderId="233" xfId="0" applyNumberFormat="1" applyBorder="1" applyAlignment="1" applyProtection="1">
      <alignment horizontal="center" vertical="center"/>
    </xf>
    <xf numFmtId="0" fontId="11" fillId="0" borderId="234" xfId="0" applyFont="1" applyBorder="1" applyAlignment="1" applyProtection="1">
      <alignment vertical="center"/>
    </xf>
    <xf numFmtId="3" fontId="0" fillId="0" borderId="235" xfId="0" applyNumberFormat="1" applyBorder="1" applyAlignment="1" applyProtection="1">
      <alignment horizontal="right" vertical="center"/>
      <protection locked="0"/>
    </xf>
    <xf numFmtId="3" fontId="0" fillId="0" borderId="236" xfId="0" applyNumberFormat="1" applyBorder="1" applyAlignment="1" applyProtection="1">
      <alignment horizontal="center" vertical="center"/>
    </xf>
    <xf numFmtId="0" fontId="11" fillId="0" borderId="237" xfId="0" applyFont="1" applyBorder="1" applyAlignment="1" applyProtection="1">
      <alignment vertical="center" wrapText="1"/>
    </xf>
    <xf numFmtId="3" fontId="0" fillId="0" borderId="238" xfId="0" applyNumberFormat="1" applyBorder="1" applyAlignment="1" applyProtection="1">
      <alignment horizontal="right" vertical="center"/>
      <protection locked="0"/>
    </xf>
    <xf numFmtId="3" fontId="0" fillId="0" borderId="158" xfId="0" applyNumberFormat="1" applyBorder="1" applyAlignment="1" applyProtection="1">
      <alignment horizontal="center"/>
    </xf>
    <xf numFmtId="0" fontId="41" fillId="0" borderId="159" xfId="0" applyFont="1" applyBorder="1" applyAlignment="1" applyProtection="1">
      <alignment horizontal="center"/>
    </xf>
    <xf numFmtId="3" fontId="17" fillId="0" borderId="160" xfId="0" applyNumberFormat="1" applyFont="1" applyBorder="1" applyAlignment="1" applyProtection="1">
      <alignment horizontal="right" vertical="center"/>
    </xf>
    <xf numFmtId="3" fontId="0" fillId="0" borderId="238" xfId="0" applyNumberFormat="1" applyBorder="1" applyAlignment="1" applyProtection="1">
      <alignment horizontal="right" vertical="center"/>
    </xf>
    <xf numFmtId="0" fontId="12" fillId="0" borderId="0" xfId="22" applyFont="1" applyFill="1" applyProtection="1"/>
    <xf numFmtId="3" fontId="26" fillId="0" borderId="0" xfId="53" applyNumberFormat="1" applyFont="1" applyProtection="1"/>
    <xf numFmtId="3" fontId="27" fillId="0" borderId="24" xfId="52" applyNumberFormat="1" applyFont="1" applyBorder="1" applyAlignment="1" applyProtection="1">
      <alignment horizontal="right" vertical="center"/>
    </xf>
    <xf numFmtId="3" fontId="27" fillId="0" borderId="35" xfId="52" applyNumberFormat="1" applyFont="1" applyBorder="1" applyAlignment="1" applyProtection="1">
      <alignment horizontal="right" vertical="center"/>
    </xf>
    <xf numFmtId="3" fontId="27" fillId="0" borderId="15" xfId="52" applyNumberFormat="1" applyFont="1" applyBorder="1" applyAlignment="1" applyProtection="1">
      <alignment horizontal="right" vertical="center"/>
    </xf>
    <xf numFmtId="3" fontId="27" fillId="0" borderId="27" xfId="52" applyNumberFormat="1" applyFont="1" applyBorder="1" applyAlignment="1" applyProtection="1">
      <alignment horizontal="right" vertical="center"/>
    </xf>
    <xf numFmtId="3" fontId="27" fillId="0" borderId="28" xfId="52" applyNumberFormat="1" applyFont="1" applyBorder="1" applyAlignment="1" applyProtection="1">
      <alignment horizontal="right" vertical="center"/>
    </xf>
    <xf numFmtId="3" fontId="27" fillId="0" borderId="8" xfId="52" applyNumberFormat="1" applyFont="1" applyBorder="1" applyAlignment="1" applyProtection="1">
      <alignment horizontal="right" vertical="center"/>
    </xf>
    <xf numFmtId="0" fontId="12" fillId="0" borderId="0" xfId="53" applyFont="1" applyFill="1" applyProtection="1"/>
    <xf numFmtId="0" fontId="27" fillId="0" borderId="0" xfId="22" applyFont="1" applyProtection="1"/>
    <xf numFmtId="0" fontId="231" fillId="22" borderId="0" xfId="0" applyFont="1" applyFill="1" applyAlignment="1" applyProtection="1">
      <alignment vertical="center"/>
    </xf>
    <xf numFmtId="3" fontId="59" fillId="0" borderId="203" xfId="0" applyNumberFormat="1" applyFont="1" applyFill="1" applyBorder="1" applyAlignment="1" applyProtection="1">
      <alignment vertical="center"/>
    </xf>
    <xf numFmtId="3" fontId="0" fillId="0" borderId="94" xfId="0" applyNumberFormat="1" applyFill="1" applyBorder="1" applyAlignment="1" applyProtection="1">
      <alignment vertical="center"/>
    </xf>
    <xf numFmtId="0" fontId="163" fillId="0" borderId="240" xfId="22" applyFont="1" applyBorder="1" applyAlignment="1" applyProtection="1">
      <alignment horizontal="center" vertical="center" wrapText="1"/>
    </xf>
    <xf numFmtId="0" fontId="27" fillId="0" borderId="29" xfId="0" applyFont="1" applyFill="1" applyBorder="1" applyAlignment="1" applyProtection="1">
      <alignment vertical="center"/>
    </xf>
    <xf numFmtId="0" fontId="90" fillId="0" borderId="251" xfId="0" applyFont="1" applyFill="1" applyBorder="1" applyAlignment="1" applyProtection="1">
      <alignment horizontal="center"/>
    </xf>
    <xf numFmtId="0" fontId="90" fillId="0" borderId="252" xfId="0" applyFont="1" applyFill="1" applyBorder="1" applyAlignment="1" applyProtection="1">
      <alignment horizontal="center"/>
    </xf>
    <xf numFmtId="0" fontId="90" fillId="0" borderId="253" xfId="0" applyFont="1" applyFill="1" applyBorder="1" applyAlignment="1" applyProtection="1">
      <alignment horizontal="center"/>
    </xf>
    <xf numFmtId="0" fontId="90" fillId="0" borderId="254" xfId="0" applyFont="1" applyFill="1" applyBorder="1" applyAlignment="1" applyProtection="1">
      <alignment horizontal="center"/>
    </xf>
    <xf numFmtId="0" fontId="89" fillId="0" borderId="193" xfId="0" applyFont="1" applyFill="1" applyBorder="1" applyAlignment="1" applyProtection="1">
      <alignment horizontal="left" wrapText="1"/>
    </xf>
    <xf numFmtId="0" fontId="19" fillId="0" borderId="255" xfId="0" applyFont="1" applyFill="1" applyBorder="1" applyAlignment="1" applyProtection="1">
      <alignment horizontal="center" vertical="center"/>
    </xf>
    <xf numFmtId="3" fontId="13" fillId="0" borderId="80" xfId="0" applyNumberFormat="1" applyFont="1" applyFill="1" applyBorder="1" applyAlignment="1" applyProtection="1">
      <alignment horizontal="right" vertical="center"/>
    </xf>
    <xf numFmtId="3" fontId="13" fillId="0" borderId="72" xfId="0" applyNumberFormat="1" applyFont="1" applyFill="1" applyBorder="1" applyAlignment="1" applyProtection="1">
      <alignment horizontal="right" vertical="center"/>
    </xf>
    <xf numFmtId="3" fontId="13" fillId="0" borderId="73" xfId="0" applyNumberFormat="1" applyFont="1" applyFill="1" applyBorder="1" applyAlignment="1" applyProtection="1">
      <alignment horizontal="right" vertical="center"/>
    </xf>
    <xf numFmtId="0" fontId="89" fillId="0" borderId="256" xfId="0" applyFont="1" applyFill="1" applyBorder="1" applyAlignment="1" applyProtection="1">
      <alignment vertical="center" wrapText="1"/>
    </xf>
    <xf numFmtId="0" fontId="19" fillId="0" borderId="257" xfId="0" applyFont="1" applyFill="1" applyBorder="1" applyAlignment="1" applyProtection="1">
      <alignment horizontal="center" vertical="center"/>
    </xf>
    <xf numFmtId="3" fontId="13" fillId="0" borderId="258" xfId="0" applyNumberFormat="1" applyFont="1" applyFill="1" applyBorder="1" applyAlignment="1" applyProtection="1">
      <alignment horizontal="right" vertical="center"/>
      <protection locked="0"/>
    </xf>
    <xf numFmtId="3" fontId="13" fillId="0" borderId="239" xfId="0" applyNumberFormat="1" applyFont="1" applyFill="1" applyBorder="1" applyAlignment="1" applyProtection="1">
      <alignment horizontal="right" vertical="center"/>
      <protection locked="0"/>
    </xf>
    <xf numFmtId="3" fontId="13" fillId="0" borderId="259" xfId="0" applyNumberFormat="1" applyFont="1" applyFill="1" applyBorder="1" applyAlignment="1" applyProtection="1">
      <alignment horizontal="right" vertical="center"/>
    </xf>
    <xf numFmtId="49" fontId="19" fillId="0" borderId="257" xfId="0" applyNumberFormat="1" applyFont="1" applyFill="1" applyBorder="1" applyAlignment="1" applyProtection="1">
      <alignment horizontal="center" vertical="center"/>
    </xf>
    <xf numFmtId="3" fontId="13" fillId="0" borderId="258" xfId="0" applyNumberFormat="1" applyFont="1" applyFill="1" applyBorder="1" applyAlignment="1" applyProtection="1">
      <alignment horizontal="right" vertical="center"/>
    </xf>
    <xf numFmtId="3" fontId="13" fillId="0" borderId="239" xfId="0" applyNumberFormat="1" applyFont="1" applyFill="1" applyBorder="1" applyAlignment="1" applyProtection="1">
      <alignment horizontal="right" vertical="center"/>
    </xf>
    <xf numFmtId="0" fontId="90" fillId="0" borderId="256" xfId="0" applyFont="1" applyFill="1" applyBorder="1" applyAlignment="1" applyProtection="1">
      <alignment vertical="center" wrapText="1"/>
    </xf>
    <xf numFmtId="49" fontId="13" fillId="0" borderId="258" xfId="0" applyNumberFormat="1" applyFont="1" applyFill="1" applyBorder="1" applyAlignment="1" applyProtection="1">
      <alignment horizontal="right" vertical="center"/>
    </xf>
    <xf numFmtId="0" fontId="89" fillId="0" borderId="256" xfId="0" applyFont="1" applyFill="1" applyBorder="1" applyAlignment="1" applyProtection="1">
      <alignment horizontal="left"/>
    </xf>
    <xf numFmtId="49" fontId="89" fillId="0" borderId="256" xfId="0" applyNumberFormat="1" applyFont="1" applyFill="1" applyBorder="1" applyAlignment="1" applyProtection="1">
      <alignment vertical="center" wrapText="1"/>
    </xf>
    <xf numFmtId="3" fontId="13" fillId="0" borderId="258" xfId="0" applyNumberFormat="1" applyFont="1" applyFill="1" applyBorder="1" applyAlignment="1" applyProtection="1">
      <alignment horizontal="center" vertical="center"/>
    </xf>
    <xf numFmtId="3" fontId="13" fillId="0" borderId="239" xfId="0" applyNumberFormat="1" applyFont="1" applyFill="1" applyBorder="1" applyAlignment="1" applyProtection="1">
      <alignment horizontal="center" vertical="center"/>
    </xf>
    <xf numFmtId="3" fontId="13" fillId="0" borderId="259" xfId="0" applyNumberFormat="1" applyFont="1" applyFill="1" applyBorder="1" applyAlignment="1" applyProtection="1">
      <alignment horizontal="center" vertical="center"/>
    </xf>
    <xf numFmtId="49" fontId="89" fillId="0" borderId="256" xfId="0" applyNumberFormat="1" applyFont="1" applyFill="1" applyBorder="1" applyAlignment="1" applyProtection="1">
      <alignment horizontal="left" vertical="center" wrapText="1"/>
    </xf>
    <xf numFmtId="0" fontId="89" fillId="0" borderId="256" xfId="0" applyFont="1" applyFill="1" applyBorder="1" applyAlignment="1" applyProtection="1">
      <alignment horizontal="left" vertical="center" wrapText="1"/>
    </xf>
    <xf numFmtId="0" fontId="89" fillId="0" borderId="256" xfId="0" applyFont="1" applyFill="1" applyBorder="1" applyAlignment="1" applyProtection="1">
      <alignment wrapText="1"/>
    </xf>
    <xf numFmtId="0" fontId="89" fillId="0" borderId="256" xfId="0" applyFont="1" applyFill="1" applyBorder="1" applyAlignment="1" applyProtection="1">
      <alignment horizontal="left" vertical="center"/>
    </xf>
    <xf numFmtId="0" fontId="103" fillId="0" borderId="260" xfId="0" applyFont="1" applyFill="1" applyBorder="1" applyAlignment="1" applyProtection="1">
      <alignment horizontal="left"/>
    </xf>
    <xf numFmtId="0" fontId="19" fillId="0" borderId="261" xfId="0" applyFont="1" applyFill="1" applyBorder="1" applyAlignment="1" applyProtection="1">
      <alignment horizontal="center" vertical="center"/>
    </xf>
    <xf numFmtId="3" fontId="17" fillId="0" borderId="262" xfId="0" applyNumberFormat="1" applyFont="1" applyFill="1" applyBorder="1" applyAlignment="1" applyProtection="1">
      <alignment horizontal="right" vertical="center"/>
    </xf>
    <xf numFmtId="3" fontId="120" fillId="0" borderId="263" xfId="0" applyNumberFormat="1" applyFont="1" applyFill="1" applyBorder="1" applyAlignment="1" applyProtection="1">
      <alignment horizontal="center" vertical="center"/>
    </xf>
    <xf numFmtId="3" fontId="17" fillId="0" borderId="264" xfId="0" applyNumberFormat="1" applyFont="1" applyFill="1" applyBorder="1" applyAlignment="1" applyProtection="1">
      <alignment horizontal="right" vertical="center"/>
    </xf>
    <xf numFmtId="0" fontId="26" fillId="0" borderId="101" xfId="36" applyFont="1" applyFill="1" applyBorder="1" applyAlignment="1" applyProtection="1">
      <alignment wrapText="1"/>
    </xf>
    <xf numFmtId="0" fontId="27" fillId="0" borderId="91" xfId="36" applyFont="1" applyFill="1" applyBorder="1" applyAlignment="1" applyProtection="1">
      <alignment horizontal="center" vertical="center"/>
    </xf>
    <xf numFmtId="0" fontId="27" fillId="0" borderId="91" xfId="36" applyFont="1" applyFill="1" applyBorder="1" applyAlignment="1" applyProtection="1">
      <alignment horizontal="center"/>
    </xf>
    <xf numFmtId="3" fontId="27" fillId="0" borderId="103" xfId="36" applyNumberFormat="1" applyFont="1" applyFill="1" applyBorder="1" applyAlignment="1" applyProtection="1">
      <alignment horizontal="right" vertical="center"/>
    </xf>
    <xf numFmtId="0" fontId="27" fillId="0" borderId="101" xfId="36" applyFont="1" applyFill="1" applyBorder="1" applyAlignment="1" applyProtection="1">
      <alignment wrapText="1"/>
    </xf>
    <xf numFmtId="3" fontId="27" fillId="0" borderId="103" xfId="36" applyNumberFormat="1" applyFont="1" applyFill="1" applyBorder="1" applyAlignment="1" applyProtection="1">
      <alignment horizontal="right" vertical="center"/>
      <protection locked="0"/>
    </xf>
    <xf numFmtId="0" fontId="27" fillId="0" borderId="101" xfId="36" applyFont="1" applyFill="1" applyBorder="1" applyAlignment="1" applyProtection="1">
      <alignment horizontal="left" vertical="center" wrapText="1"/>
    </xf>
    <xf numFmtId="0" fontId="26" fillId="0" borderId="101" xfId="36" applyFont="1" applyFill="1" applyBorder="1" applyProtection="1"/>
    <xf numFmtId="0" fontId="27" fillId="0" borderId="101" xfId="36" applyFont="1" applyFill="1" applyBorder="1" applyProtection="1"/>
    <xf numFmtId="0" fontId="27" fillId="0" borderId="101" xfId="36" applyFont="1" applyFill="1" applyBorder="1" applyAlignment="1" applyProtection="1">
      <alignment vertical="center" wrapText="1"/>
    </xf>
    <xf numFmtId="0" fontId="12" fillId="0" borderId="101" xfId="36" applyFont="1" applyFill="1" applyBorder="1" applyAlignment="1" applyProtection="1">
      <alignment vertical="center" wrapText="1"/>
    </xf>
    <xf numFmtId="0" fontId="74" fillId="0" borderId="101" xfId="36" applyFont="1" applyFill="1" applyBorder="1" applyAlignment="1" applyProtection="1">
      <alignment horizontal="left" vertical="center" wrapText="1"/>
    </xf>
    <xf numFmtId="0" fontId="12" fillId="0" borderId="101" xfId="36" applyFont="1" applyFill="1" applyBorder="1" applyProtection="1"/>
    <xf numFmtId="49" fontId="27" fillId="0" borderId="91" xfId="36" applyNumberFormat="1" applyFont="1" applyFill="1" applyBorder="1" applyAlignment="1" applyProtection="1">
      <alignment horizontal="center" vertical="center"/>
    </xf>
    <xf numFmtId="0" fontId="26" fillId="0" borderId="241" xfId="36" applyFont="1" applyFill="1" applyBorder="1" applyAlignment="1" applyProtection="1">
      <alignment wrapText="1"/>
    </xf>
    <xf numFmtId="0" fontId="27" fillId="0" borderId="240" xfId="36" applyFont="1" applyFill="1" applyBorder="1" applyAlignment="1" applyProtection="1">
      <alignment horizontal="center" vertical="center"/>
    </xf>
    <xf numFmtId="0" fontId="27" fillId="0" borderId="240" xfId="36" applyFont="1" applyFill="1" applyBorder="1" applyAlignment="1" applyProtection="1">
      <alignment horizontal="center"/>
    </xf>
    <xf numFmtId="0" fontId="26" fillId="0" borderId="173" xfId="36" applyFont="1" applyFill="1" applyBorder="1" applyAlignment="1" applyProtection="1">
      <alignment wrapText="1"/>
    </xf>
    <xf numFmtId="0" fontId="27" fillId="0" borderId="157" xfId="36" applyFont="1" applyFill="1" applyBorder="1" applyAlignment="1" applyProtection="1">
      <alignment horizontal="center" vertical="center"/>
    </xf>
    <xf numFmtId="0" fontId="27" fillId="0" borderId="157" xfId="36" applyFont="1" applyFill="1" applyBorder="1" applyAlignment="1" applyProtection="1">
      <alignment horizontal="center"/>
    </xf>
    <xf numFmtId="0" fontId="44" fillId="0" borderId="158" xfId="36" applyFont="1" applyFill="1" applyBorder="1" applyAlignment="1" applyProtection="1">
      <alignment horizontal="center"/>
    </xf>
    <xf numFmtId="0" fontId="44" fillId="0" borderId="159" xfId="36" applyFont="1" applyFill="1" applyBorder="1" applyAlignment="1" applyProtection="1">
      <alignment horizontal="center"/>
    </xf>
    <xf numFmtId="0" fontId="44" fillId="0" borderId="160" xfId="36" applyFont="1" applyFill="1" applyBorder="1" applyAlignment="1" applyProtection="1">
      <alignment horizontal="center"/>
    </xf>
    <xf numFmtId="2" fontId="12" fillId="0" borderId="234" xfId="22" applyNumberFormat="1" applyFill="1" applyBorder="1" applyAlignment="1" applyProtection="1">
      <alignment horizontal="center" vertical="center" wrapText="1"/>
    </xf>
    <xf numFmtId="49" fontId="74" fillId="0" borderId="234" xfId="22" applyNumberFormat="1" applyFont="1" applyFill="1" applyBorder="1" applyAlignment="1" applyProtection="1">
      <alignment vertical="center" wrapText="1"/>
    </xf>
    <xf numFmtId="0" fontId="58" fillId="0" borderId="234" xfId="36" applyFont="1" applyFill="1" applyBorder="1" applyProtection="1"/>
    <xf numFmtId="3" fontId="12" fillId="0" borderId="234" xfId="36" applyNumberFormat="1" applyFont="1" applyFill="1" applyBorder="1" applyAlignment="1" applyProtection="1">
      <alignment horizontal="center" vertical="center"/>
    </xf>
    <xf numFmtId="3" fontId="27" fillId="0" borderId="234" xfId="36" applyNumberFormat="1" applyFont="1" applyFill="1" applyBorder="1" applyAlignment="1" applyProtection="1">
      <alignment horizontal="right" vertical="center"/>
    </xf>
    <xf numFmtId="3" fontId="27" fillId="0" borderId="234" xfId="36" applyNumberFormat="1" applyFont="1" applyFill="1" applyBorder="1" applyAlignment="1" applyProtection="1">
      <alignment horizontal="right" vertical="center"/>
      <protection locked="0"/>
    </xf>
    <xf numFmtId="0" fontId="27" fillId="0" borderId="234" xfId="36" applyFont="1" applyFill="1" applyBorder="1" applyAlignment="1" applyProtection="1">
      <alignment vertical="center"/>
    </xf>
    <xf numFmtId="3" fontId="27" fillId="0" borderId="234" xfId="36" applyNumberFormat="1" applyFont="1" applyFill="1" applyBorder="1" applyAlignment="1" applyProtection="1">
      <alignment vertical="center"/>
    </xf>
    <xf numFmtId="3" fontId="41" fillId="0" borderId="234" xfId="36" applyNumberFormat="1" applyFont="1" applyFill="1" applyBorder="1" applyAlignment="1" applyProtection="1">
      <alignment horizontal="center" vertical="center"/>
    </xf>
    <xf numFmtId="3" fontId="16" fillId="0" borderId="234" xfId="36" applyNumberFormat="1" applyFont="1" applyFill="1" applyBorder="1" applyAlignment="1" applyProtection="1">
      <alignment horizontal="right" vertical="center"/>
    </xf>
    <xf numFmtId="3" fontId="16" fillId="0" borderId="234" xfId="36" applyNumberFormat="1" applyFont="1" applyFill="1" applyBorder="1" applyAlignment="1" applyProtection="1">
      <alignment vertical="center"/>
    </xf>
    <xf numFmtId="3" fontId="16" fillId="0" borderId="234" xfId="36" applyNumberFormat="1" applyFont="1" applyFill="1" applyBorder="1" applyAlignment="1" applyProtection="1">
      <alignment horizontal="right" vertical="center"/>
      <protection locked="0"/>
    </xf>
    <xf numFmtId="0" fontId="16" fillId="0" borderId="234" xfId="36" applyFont="1" applyFill="1" applyBorder="1" applyAlignment="1" applyProtection="1">
      <alignment vertical="center"/>
    </xf>
    <xf numFmtId="0" fontId="12" fillId="0" borderId="234" xfId="36" applyFont="1" applyFill="1" applyBorder="1" applyAlignment="1" applyProtection="1">
      <alignment horizontal="center" vertical="center"/>
    </xf>
    <xf numFmtId="49" fontId="12" fillId="0" borderId="234" xfId="36" applyNumberFormat="1" applyFont="1" applyFill="1" applyBorder="1" applyAlignment="1" applyProtection="1">
      <alignment horizontal="center" vertical="center"/>
    </xf>
    <xf numFmtId="0" fontId="58" fillId="0" borderId="235" xfId="36" applyFont="1" applyFill="1" applyBorder="1" applyProtection="1"/>
    <xf numFmtId="0" fontId="27" fillId="0" borderId="235" xfId="36" applyFont="1" applyFill="1" applyBorder="1" applyAlignment="1" applyProtection="1">
      <alignment vertical="center"/>
    </xf>
    <xf numFmtId="0" fontId="74" fillId="0" borderId="233" xfId="36" applyFont="1" applyFill="1" applyBorder="1" applyAlignment="1" applyProtection="1">
      <alignment vertical="center" wrapText="1"/>
    </xf>
    <xf numFmtId="0" fontId="74" fillId="0" borderId="233" xfId="36" applyFont="1" applyFill="1" applyBorder="1" applyAlignment="1" applyProtection="1">
      <alignment horizontal="left" vertical="center" wrapText="1"/>
    </xf>
    <xf numFmtId="3" fontId="41" fillId="0" borderId="233" xfId="36" applyNumberFormat="1" applyFont="1" applyFill="1" applyBorder="1" applyAlignment="1" applyProtection="1">
      <alignment vertical="center" wrapText="1"/>
    </xf>
    <xf numFmtId="3" fontId="16" fillId="0" borderId="235" xfId="36" applyNumberFormat="1" applyFont="1" applyFill="1" applyBorder="1" applyAlignment="1" applyProtection="1">
      <alignment vertical="center"/>
    </xf>
    <xf numFmtId="3" fontId="41" fillId="0" borderId="233" xfId="36" applyNumberFormat="1" applyFont="1" applyFill="1" applyBorder="1" applyAlignment="1" applyProtection="1">
      <alignment vertical="center"/>
    </xf>
    <xf numFmtId="0" fontId="16" fillId="0" borderId="235" xfId="36" applyFont="1" applyFill="1" applyBorder="1" applyAlignment="1" applyProtection="1">
      <alignment vertical="center"/>
    </xf>
    <xf numFmtId="3" fontId="27" fillId="0" borderId="235" xfId="36" applyNumberFormat="1" applyFont="1" applyFill="1" applyBorder="1" applyAlignment="1" applyProtection="1">
      <alignment vertical="center"/>
    </xf>
    <xf numFmtId="3" fontId="27" fillId="0" borderId="235" xfId="36" applyNumberFormat="1" applyFont="1" applyFill="1" applyBorder="1" applyAlignment="1" applyProtection="1">
      <alignment horizontal="right" vertical="center"/>
    </xf>
    <xf numFmtId="0" fontId="31" fillId="0" borderId="233" xfId="36" applyFont="1" applyFill="1" applyBorder="1" applyAlignment="1" applyProtection="1">
      <alignment vertical="center" wrapText="1"/>
    </xf>
    <xf numFmtId="3" fontId="16" fillId="0" borderId="235" xfId="36" applyNumberFormat="1" applyFont="1" applyFill="1" applyBorder="1" applyAlignment="1" applyProtection="1">
      <alignment horizontal="right" vertical="center"/>
    </xf>
    <xf numFmtId="0" fontId="31" fillId="0" borderId="141" xfId="36" applyFont="1" applyFill="1" applyBorder="1" applyAlignment="1" applyProtection="1">
      <alignment vertical="center" wrapText="1"/>
    </xf>
    <xf numFmtId="3" fontId="12" fillId="0" borderId="104" xfId="36" applyNumberFormat="1" applyFont="1" applyFill="1" applyBorder="1" applyAlignment="1" applyProtection="1">
      <alignment horizontal="center" vertical="center"/>
    </xf>
    <xf numFmtId="3" fontId="16" fillId="0" borderId="104" xfId="36" applyNumberFormat="1" applyFont="1" applyFill="1" applyBorder="1" applyAlignment="1" applyProtection="1">
      <alignment horizontal="right" vertical="center"/>
    </xf>
    <xf numFmtId="3" fontId="16" fillId="0" borderId="105" xfId="36" applyNumberFormat="1" applyFont="1" applyFill="1" applyBorder="1" applyAlignment="1" applyProtection="1">
      <alignment horizontal="right" vertical="center"/>
    </xf>
    <xf numFmtId="2" fontId="12" fillId="0" borderId="104" xfId="22" applyNumberFormat="1" applyFill="1" applyBorder="1" applyAlignment="1" applyProtection="1">
      <alignment horizontal="center" vertical="center" wrapText="1"/>
    </xf>
    <xf numFmtId="49" fontId="74" fillId="0" borderId="104" xfId="22" applyNumberFormat="1" applyFont="1" applyFill="1" applyBorder="1" applyAlignment="1" applyProtection="1">
      <alignment vertical="center" wrapText="1"/>
    </xf>
    <xf numFmtId="0" fontId="58" fillId="0" borderId="104" xfId="36" applyFont="1" applyFill="1" applyBorder="1" applyProtection="1"/>
    <xf numFmtId="0" fontId="58" fillId="0" borderId="105" xfId="36" applyFont="1" applyFill="1" applyBorder="1" applyProtection="1"/>
    <xf numFmtId="3" fontId="31" fillId="0" borderId="173" xfId="36" applyNumberFormat="1" applyFont="1" applyFill="1" applyBorder="1" applyAlignment="1" applyProtection="1">
      <alignment vertical="center" wrapText="1"/>
    </xf>
    <xf numFmtId="0" fontId="27" fillId="0" borderId="162" xfId="36" applyFont="1" applyFill="1" applyBorder="1" applyAlignment="1" applyProtection="1">
      <alignment vertical="center"/>
    </xf>
    <xf numFmtId="3" fontId="44" fillId="0" borderId="158" xfId="36" applyNumberFormat="1" applyFont="1" applyFill="1" applyBorder="1" applyAlignment="1" applyProtection="1">
      <alignment horizontal="center" vertical="center"/>
    </xf>
    <xf numFmtId="3" fontId="44" fillId="0" borderId="159" xfId="36" applyNumberFormat="1" applyFont="1" applyFill="1" applyBorder="1" applyAlignment="1" applyProtection="1">
      <alignment horizontal="center" vertical="center"/>
    </xf>
    <xf numFmtId="3" fontId="94" fillId="0" borderId="159" xfId="36" applyNumberFormat="1" applyFont="1" applyFill="1" applyBorder="1" applyAlignment="1" applyProtection="1">
      <alignment horizontal="center" vertical="center"/>
    </xf>
    <xf numFmtId="0" fontId="94" fillId="0" borderId="159" xfId="36" applyFont="1" applyFill="1" applyBorder="1" applyAlignment="1" applyProtection="1">
      <alignment horizontal="center" vertical="center"/>
    </xf>
    <xf numFmtId="0" fontId="94" fillId="0" borderId="160" xfId="36" applyFont="1" applyFill="1" applyBorder="1" applyAlignment="1" applyProtection="1">
      <alignment horizontal="center" vertical="center"/>
    </xf>
    <xf numFmtId="0" fontId="27" fillId="0" borderId="29" xfId="35" applyFont="1" applyFill="1" applyBorder="1" applyAlignment="1" applyProtection="1">
      <alignment horizontal="center"/>
    </xf>
    <xf numFmtId="3" fontId="74" fillId="0" borderId="29" xfId="35" applyNumberFormat="1" applyFont="1" applyFill="1" applyBorder="1" applyAlignment="1" applyProtection="1">
      <alignment horizontal="center" vertical="center"/>
    </xf>
    <xf numFmtId="0" fontId="31" fillId="0" borderId="112" xfId="35" applyFont="1" applyFill="1" applyBorder="1" applyAlignment="1" applyProtection="1">
      <alignment wrapText="1"/>
    </xf>
    <xf numFmtId="0" fontId="74" fillId="0" borderId="112" xfId="35" applyFont="1" applyFill="1" applyBorder="1" applyAlignment="1" applyProtection="1">
      <alignment wrapText="1"/>
    </xf>
    <xf numFmtId="0" fontId="31" fillId="0" borderId="112" xfId="35" applyFont="1" applyFill="1" applyBorder="1" applyProtection="1"/>
    <xf numFmtId="3" fontId="13" fillId="0" borderId="75" xfId="35" applyNumberFormat="1" applyFont="1" applyFill="1" applyBorder="1" applyAlignment="1" applyProtection="1">
      <alignment horizontal="right" vertical="center"/>
    </xf>
    <xf numFmtId="0" fontId="74" fillId="0" borderId="112" xfId="35" applyFont="1" applyFill="1" applyBorder="1" applyProtection="1"/>
    <xf numFmtId="3" fontId="13" fillId="0" borderId="75" xfId="35" applyNumberFormat="1" applyFont="1" applyFill="1" applyBorder="1" applyAlignment="1" applyProtection="1">
      <alignment horizontal="right" vertical="center"/>
      <protection locked="0"/>
    </xf>
    <xf numFmtId="0" fontId="74" fillId="0" borderId="112" xfId="36" applyFont="1" applyFill="1" applyBorder="1" applyAlignment="1" applyProtection="1">
      <alignment vertical="center" wrapText="1"/>
    </xf>
    <xf numFmtId="0" fontId="74" fillId="0" borderId="112" xfId="36" applyFont="1" applyFill="1" applyBorder="1" applyAlignment="1" applyProtection="1">
      <alignment wrapText="1"/>
    </xf>
    <xf numFmtId="0" fontId="74" fillId="0" borderId="112" xfId="35" applyFont="1" applyFill="1" applyBorder="1" applyAlignment="1" applyProtection="1">
      <alignment vertical="center" wrapText="1"/>
    </xf>
    <xf numFmtId="3" fontId="29" fillId="0" borderId="75" xfId="35" applyNumberFormat="1" applyFont="1" applyFill="1" applyBorder="1" applyAlignment="1" applyProtection="1">
      <alignment horizontal="right" vertical="center"/>
    </xf>
    <xf numFmtId="0" fontId="31" fillId="0" borderId="78" xfId="35" applyFont="1" applyFill="1" applyBorder="1" applyAlignment="1" applyProtection="1">
      <alignment wrapText="1"/>
    </xf>
    <xf numFmtId="0" fontId="27" fillId="0" borderId="76" xfId="36" applyFont="1" applyFill="1" applyBorder="1" applyAlignment="1" applyProtection="1">
      <alignment horizontal="center" vertical="center"/>
    </xf>
    <xf numFmtId="3" fontId="17" fillId="0" borderId="76" xfId="35" applyNumberFormat="1" applyFont="1" applyFill="1" applyBorder="1" applyAlignment="1" applyProtection="1">
      <alignment horizontal="right" vertical="center"/>
    </xf>
    <xf numFmtId="3" fontId="29" fillId="0" borderId="76" xfId="35" applyNumberFormat="1" applyFont="1" applyFill="1" applyBorder="1" applyAlignment="1" applyProtection="1">
      <alignment horizontal="right" vertical="center"/>
    </xf>
    <xf numFmtId="3" fontId="29" fillId="0" borderId="77" xfId="35" applyNumberFormat="1" applyFont="1" applyFill="1" applyBorder="1" applyAlignment="1" applyProtection="1">
      <alignment horizontal="right" vertical="center"/>
    </xf>
    <xf numFmtId="0" fontId="74" fillId="0" borderId="76" xfId="35" applyFont="1" applyFill="1" applyBorder="1" applyAlignment="1" applyProtection="1">
      <alignment horizontal="center" vertical="center" wrapText="1"/>
    </xf>
    <xf numFmtId="0" fontId="31" fillId="0" borderId="115" xfId="35" applyFont="1" applyFill="1" applyBorder="1" applyAlignment="1" applyProtection="1">
      <alignment wrapText="1"/>
    </xf>
    <xf numFmtId="0" fontId="27" fillId="0" borderId="39" xfId="35" applyFont="1" applyFill="1" applyBorder="1" applyAlignment="1" applyProtection="1">
      <alignment horizontal="center"/>
    </xf>
    <xf numFmtId="3" fontId="27" fillId="0" borderId="39" xfId="35" applyNumberFormat="1" applyFont="1" applyFill="1" applyBorder="1" applyAlignment="1" applyProtection="1">
      <alignment horizontal="right" vertical="center"/>
    </xf>
    <xf numFmtId="3" fontId="74" fillId="0" borderId="39" xfId="35" applyNumberFormat="1" applyFont="1" applyFill="1" applyBorder="1" applyAlignment="1" applyProtection="1">
      <alignment horizontal="center" vertical="center"/>
    </xf>
    <xf numFmtId="3" fontId="27" fillId="0" borderId="39" xfId="35" applyNumberFormat="1" applyFont="1" applyFill="1" applyBorder="1" applyAlignment="1" applyProtection="1">
      <alignment horizontal="center" vertical="center"/>
    </xf>
    <xf numFmtId="0" fontId="44" fillId="0" borderId="111" xfId="35" applyFont="1" applyFill="1" applyBorder="1" applyAlignment="1" applyProtection="1">
      <alignment horizontal="center" vertical="center"/>
    </xf>
    <xf numFmtId="0" fontId="44" fillId="0" borderId="109" xfId="35" applyFont="1" applyFill="1" applyBorder="1" applyAlignment="1" applyProtection="1">
      <alignment horizontal="center" vertical="center"/>
    </xf>
    <xf numFmtId="0" fontId="44" fillId="0" borderId="110" xfId="35" applyFont="1" applyFill="1" applyBorder="1" applyAlignment="1" applyProtection="1">
      <alignment horizontal="center" vertical="center"/>
    </xf>
    <xf numFmtId="3" fontId="27" fillId="0" borderId="73" xfId="35" applyNumberFormat="1" applyFont="1" applyFill="1" applyBorder="1" applyAlignment="1" applyProtection="1">
      <alignment horizontal="center" vertical="center"/>
    </xf>
    <xf numFmtId="3" fontId="74" fillId="0" borderId="75" xfId="35" applyNumberFormat="1" applyFont="1" applyFill="1" applyBorder="1" applyAlignment="1" applyProtection="1">
      <alignment horizontal="center" vertical="center"/>
    </xf>
    <xf numFmtId="0" fontId="11" fillId="0" borderId="0" xfId="25" applyFill="1"/>
    <xf numFmtId="0" fontId="11" fillId="0" borderId="0" xfId="25" applyFont="1" applyFill="1" applyBorder="1" applyAlignment="1" applyProtection="1">
      <alignment horizontal="center"/>
    </xf>
    <xf numFmtId="0" fontId="72" fillId="0" borderId="0" xfId="25" applyFont="1" applyFill="1" applyProtection="1"/>
    <xf numFmtId="0" fontId="27" fillId="0" borderId="0" xfId="25" applyFont="1" applyFill="1" applyProtection="1"/>
    <xf numFmtId="0" fontId="27" fillId="0" borderId="0" xfId="25" applyFont="1" applyFill="1"/>
    <xf numFmtId="0" fontId="26" fillId="0" borderId="0" xfId="25" applyFont="1" applyFill="1"/>
    <xf numFmtId="3" fontId="27" fillId="0" borderId="0" xfId="25" applyNumberFormat="1" applyFont="1" applyFill="1"/>
    <xf numFmtId="0" fontId="80" fillId="0" borderId="0" xfId="25" applyFont="1" applyFill="1"/>
    <xf numFmtId="0" fontId="64" fillId="0" borderId="0" xfId="25" applyFont="1" applyFill="1"/>
    <xf numFmtId="3" fontId="11" fillId="0" borderId="0" xfId="25" applyNumberFormat="1" applyFill="1" applyBorder="1" applyProtection="1"/>
    <xf numFmtId="0" fontId="116" fillId="0" borderId="0" xfId="25" applyFont="1" applyFill="1" applyBorder="1" applyAlignment="1" applyProtection="1">
      <alignment vertical="center"/>
    </xf>
    <xf numFmtId="0" fontId="13" fillId="0" borderId="0" xfId="25" applyFont="1" applyFill="1"/>
    <xf numFmtId="0" fontId="94" fillId="0" borderId="0" xfId="25" applyFont="1" applyFill="1"/>
    <xf numFmtId="0" fontId="79" fillId="0" borderId="0" xfId="25" applyFont="1" applyFill="1"/>
    <xf numFmtId="0" fontId="56" fillId="0" borderId="266" xfId="25" applyFont="1" applyFill="1" applyBorder="1" applyAlignment="1" applyProtection="1">
      <alignment horizontal="center" vertical="top" wrapText="1"/>
    </xf>
    <xf numFmtId="0" fontId="56" fillId="0" borderId="252" xfId="25" applyFont="1" applyFill="1" applyBorder="1" applyAlignment="1" applyProtection="1">
      <alignment horizontal="center" vertical="center" wrapText="1"/>
    </xf>
    <xf numFmtId="0" fontId="219" fillId="0" borderId="265" xfId="25" applyFont="1" applyFill="1" applyBorder="1" applyAlignment="1" applyProtection="1">
      <alignment horizontal="center" vertical="top" wrapText="1"/>
    </xf>
    <xf numFmtId="0" fontId="56" fillId="0" borderId="265" xfId="25" applyFont="1" applyFill="1" applyBorder="1" applyAlignment="1" applyProtection="1">
      <alignment horizontal="center" vertical="top"/>
    </xf>
    <xf numFmtId="3" fontId="26" fillId="0" borderId="100" xfId="25" applyNumberFormat="1" applyFont="1" applyFill="1" applyBorder="1" applyAlignment="1" applyProtection="1">
      <alignment horizontal="right" vertical="center"/>
    </xf>
    <xf numFmtId="3" fontId="26" fillId="0" borderId="102" xfId="25" applyNumberFormat="1" applyFont="1" applyFill="1" applyBorder="1" applyAlignment="1" applyProtection="1">
      <alignment horizontal="right" vertical="center"/>
    </xf>
    <xf numFmtId="0" fontId="31" fillId="0" borderId="175" xfId="22" applyFont="1" applyBorder="1" applyAlignment="1" applyProtection="1">
      <alignment horizontal="center" vertical="center" wrapText="1"/>
    </xf>
    <xf numFmtId="0" fontId="31" fillId="0" borderId="199" xfId="22" applyFont="1" applyBorder="1" applyAlignment="1" applyProtection="1">
      <alignment horizontal="center" vertical="center" wrapText="1"/>
    </xf>
    <xf numFmtId="0" fontId="31" fillId="0" borderId="200" xfId="22" applyFont="1" applyBorder="1" applyAlignment="1" applyProtection="1">
      <alignment horizontal="center" vertical="center" wrapText="1"/>
    </xf>
    <xf numFmtId="0" fontId="12" fillId="0" borderId="251" xfId="22" applyBorder="1"/>
    <xf numFmtId="0" fontId="29" fillId="0" borderId="271" xfId="22" applyFont="1" applyBorder="1" applyAlignment="1" applyProtection="1">
      <alignment horizontal="center" vertical="center" wrapText="1"/>
    </xf>
    <xf numFmtId="0" fontId="31" fillId="0" borderId="253" xfId="22" applyFont="1" applyBorder="1" applyAlignment="1" applyProtection="1">
      <alignment horizontal="center" vertical="center" wrapText="1"/>
    </xf>
    <xf numFmtId="0" fontId="31" fillId="0" borderId="254" xfId="22" applyFont="1" applyBorder="1" applyAlignment="1" applyProtection="1">
      <alignment horizontal="center" vertical="center" wrapText="1"/>
    </xf>
    <xf numFmtId="0" fontId="31" fillId="0" borderId="176" xfId="22" applyFont="1" applyBorder="1" applyAlignment="1" applyProtection="1">
      <alignment horizontal="left"/>
    </xf>
    <xf numFmtId="0" fontId="12" fillId="0" borderId="226" xfId="22" applyFont="1" applyFill="1" applyBorder="1" applyAlignment="1" applyProtection="1">
      <alignment horizontal="left" wrapText="1"/>
    </xf>
    <xf numFmtId="0" fontId="31" fillId="0" borderId="72" xfId="22" applyFont="1" applyFill="1" applyBorder="1" applyAlignment="1" applyProtection="1">
      <alignment horizontal="left"/>
    </xf>
    <xf numFmtId="0" fontId="12" fillId="0" borderId="263" xfId="22" applyFont="1" applyFill="1" applyBorder="1" applyAlignment="1">
      <alignment vertical="center" wrapText="1"/>
    </xf>
    <xf numFmtId="0" fontId="12" fillId="0" borderId="263" xfId="22" applyFont="1" applyFill="1" applyBorder="1"/>
    <xf numFmtId="0" fontId="12" fillId="0" borderId="263" xfId="22" applyFont="1" applyFill="1" applyBorder="1" applyAlignment="1" applyProtection="1">
      <alignment horizontal="left"/>
    </xf>
    <xf numFmtId="0" fontId="12" fillId="0" borderId="239" xfId="22" applyFont="1" applyFill="1" applyBorder="1" applyAlignment="1">
      <alignment horizontal="left" vertical="center" wrapText="1"/>
    </xf>
    <xf numFmtId="0" fontId="12" fillId="0" borderId="263" xfId="22" applyFont="1" applyFill="1" applyBorder="1" applyAlignment="1">
      <alignment horizontal="left" vertical="center" wrapText="1" shrinkToFit="1"/>
    </xf>
    <xf numFmtId="3" fontId="13" fillId="0" borderId="263" xfId="22" applyNumberFormat="1" applyFont="1" applyFill="1" applyBorder="1" applyAlignment="1" applyProtection="1">
      <alignment horizontal="center" vertical="center"/>
      <protection locked="0"/>
    </xf>
    <xf numFmtId="3" fontId="13" fillId="0" borderId="263" xfId="22" applyNumberFormat="1" applyFont="1" applyBorder="1" applyAlignment="1" applyProtection="1">
      <alignment horizontal="center" vertical="center"/>
    </xf>
    <xf numFmtId="3" fontId="13" fillId="0" borderId="264" xfId="22" applyNumberFormat="1" applyFont="1" applyBorder="1" applyAlignment="1" applyProtection="1">
      <alignment horizontal="center" vertical="center"/>
      <protection locked="0"/>
    </xf>
    <xf numFmtId="0" fontId="12" fillId="0" borderId="263" xfId="22" applyFont="1" applyFill="1" applyBorder="1" applyAlignment="1">
      <alignment horizontal="left" vertical="center" wrapText="1"/>
    </xf>
    <xf numFmtId="0" fontId="31" fillId="0" borderId="176" xfId="22" applyFont="1" applyBorder="1" applyAlignment="1" applyProtection="1">
      <alignment horizontal="left" vertical="center"/>
    </xf>
    <xf numFmtId="0" fontId="12" fillId="0" borderId="226" xfId="22" applyFont="1" applyFill="1" applyBorder="1" applyAlignment="1" applyProtection="1">
      <alignment horizontal="left" vertical="center" wrapText="1"/>
    </xf>
    <xf numFmtId="0" fontId="31" fillId="0" borderId="176" xfId="22" applyFont="1" applyFill="1" applyBorder="1" applyAlignment="1" applyProtection="1">
      <alignment horizontal="left" vertical="center"/>
    </xf>
    <xf numFmtId="0" fontId="12" fillId="0" borderId="275" xfId="22" applyBorder="1" applyProtection="1"/>
    <xf numFmtId="0" fontId="31" fillId="0" borderId="72" xfId="22" applyFont="1" applyBorder="1" applyAlignment="1" applyProtection="1">
      <alignment vertical="center"/>
    </xf>
    <xf numFmtId="0" fontId="12" fillId="0" borderId="72" xfId="22" applyBorder="1" applyAlignment="1" applyProtection="1">
      <alignment vertical="center"/>
    </xf>
    <xf numFmtId="0" fontId="12" fillId="0" borderId="73" xfId="22" applyBorder="1" applyAlignment="1" applyProtection="1">
      <alignment vertical="center"/>
    </xf>
    <xf numFmtId="0" fontId="12" fillId="0" borderId="276" xfId="22" applyBorder="1" applyProtection="1"/>
    <xf numFmtId="0" fontId="12" fillId="0" borderId="239" xfId="22" applyFont="1" applyBorder="1" applyAlignment="1" applyProtection="1">
      <alignment vertical="center"/>
    </xf>
    <xf numFmtId="3" fontId="89" fillId="0" borderId="239" xfId="39" applyNumberFormat="1" applyFont="1" applyFill="1" applyBorder="1" applyAlignment="1" applyProtection="1">
      <alignment vertical="center" wrapText="1"/>
    </xf>
    <xf numFmtId="3" fontId="89" fillId="0" borderId="259" xfId="39" applyNumberFormat="1" applyFont="1" applyFill="1" applyBorder="1" applyAlignment="1" applyProtection="1">
      <alignment vertical="center" wrapText="1"/>
    </xf>
    <xf numFmtId="0" fontId="12" fillId="0" borderId="277" xfId="22" applyBorder="1" applyProtection="1"/>
    <xf numFmtId="0" fontId="12" fillId="0" borderId="263" xfId="22" applyFont="1" applyBorder="1" applyAlignment="1" applyProtection="1">
      <alignment vertical="center"/>
    </xf>
    <xf numFmtId="3" fontId="89" fillId="0" borderId="263" xfId="39" applyNumberFormat="1" applyFont="1" applyFill="1" applyBorder="1" applyAlignment="1" applyProtection="1">
      <alignment vertical="center" wrapText="1"/>
    </xf>
    <xf numFmtId="3" fontId="89" fillId="0" borderId="264" xfId="39" applyNumberFormat="1" applyFont="1" applyFill="1" applyBorder="1" applyAlignment="1" applyProtection="1">
      <alignment vertical="center" wrapText="1"/>
    </xf>
    <xf numFmtId="3" fontId="27" fillId="0" borderId="73" xfId="22" applyNumberFormat="1" applyFont="1" applyBorder="1" applyAlignment="1" applyProtection="1">
      <alignment vertical="center"/>
    </xf>
    <xf numFmtId="3" fontId="12" fillId="0" borderId="239" xfId="22" applyNumberFormat="1" applyBorder="1" applyAlignment="1" applyProtection="1">
      <alignment vertical="center"/>
    </xf>
    <xf numFmtId="3" fontId="12" fillId="0" borderId="259" xfId="22" applyNumberFormat="1" applyBorder="1" applyAlignment="1" applyProtection="1">
      <alignment vertical="center"/>
    </xf>
    <xf numFmtId="3" fontId="12" fillId="0" borderId="263" xfId="22" applyNumberFormat="1" applyBorder="1" applyAlignment="1" applyProtection="1">
      <alignment vertical="center"/>
    </xf>
    <xf numFmtId="3" fontId="12" fillId="0" borderId="264" xfId="22" applyNumberFormat="1" applyBorder="1" applyAlignment="1" applyProtection="1">
      <alignment vertical="center"/>
    </xf>
    <xf numFmtId="3" fontId="12" fillId="0" borderId="72" xfId="22" applyNumberFormat="1" applyBorder="1" applyAlignment="1" applyProtection="1">
      <alignment horizontal="center" vertical="center"/>
    </xf>
    <xf numFmtId="3" fontId="12" fillId="0" borderId="73" xfId="22" applyNumberFormat="1" applyBorder="1" applyAlignment="1" applyProtection="1">
      <alignment horizontal="center" vertical="center"/>
    </xf>
    <xf numFmtId="0" fontId="12" fillId="0" borderId="158" xfId="22" applyBorder="1"/>
    <xf numFmtId="0" fontId="29" fillId="0" borderId="269" xfId="22" applyFont="1" applyBorder="1" applyAlignment="1" applyProtection="1">
      <alignment horizontal="center" vertical="center" wrapText="1"/>
    </xf>
    <xf numFmtId="0" fontId="31" fillId="0" borderId="269" xfId="22" applyFont="1" applyBorder="1" applyAlignment="1" applyProtection="1">
      <alignment horizontal="center" vertical="center" wrapText="1"/>
    </xf>
    <xf numFmtId="0" fontId="31" fillId="0" borderId="270" xfId="22" applyFont="1" applyBorder="1" applyAlignment="1" applyProtection="1">
      <alignment horizontal="center" vertical="center" wrapText="1"/>
    </xf>
    <xf numFmtId="0" fontId="31" fillId="0" borderId="179" xfId="22" applyFont="1" applyBorder="1" applyAlignment="1" applyProtection="1">
      <alignment horizontal="center" vertical="center" wrapText="1"/>
    </xf>
    <xf numFmtId="0" fontId="31" fillId="0" borderId="279" xfId="22" applyFont="1" applyBorder="1" applyAlignment="1" applyProtection="1">
      <alignment horizontal="center" vertical="center" wrapText="1"/>
    </xf>
    <xf numFmtId="0" fontId="31" fillId="0" borderId="212" xfId="22" applyFont="1" applyBorder="1" applyAlignment="1" applyProtection="1">
      <alignment horizontal="center" vertical="center" wrapText="1"/>
    </xf>
    <xf numFmtId="0" fontId="31" fillId="0" borderId="175" xfId="22" applyFont="1" applyFill="1" applyBorder="1" applyAlignment="1" applyProtection="1">
      <alignment horizontal="center" vertical="center" wrapText="1"/>
    </xf>
    <xf numFmtId="0" fontId="31" fillId="0" borderId="199" xfId="22" applyFont="1" applyFill="1" applyBorder="1" applyAlignment="1" applyProtection="1">
      <alignment horizontal="center" vertical="center" wrapText="1"/>
    </xf>
    <xf numFmtId="0" fontId="31" fillId="0" borderId="200" xfId="22" applyFont="1" applyFill="1" applyBorder="1" applyAlignment="1" applyProtection="1">
      <alignment horizontal="center" vertical="center" wrapText="1"/>
    </xf>
    <xf numFmtId="0" fontId="31" fillId="0" borderId="79" xfId="22" applyFont="1" applyBorder="1" applyAlignment="1" applyProtection="1">
      <alignment vertical="center"/>
    </xf>
    <xf numFmtId="0" fontId="12" fillId="0" borderId="72" xfId="22" applyFill="1" applyBorder="1" applyAlignment="1" applyProtection="1">
      <alignment vertical="center"/>
    </xf>
    <xf numFmtId="0" fontId="12" fillId="0" borderId="112" xfId="22" applyFont="1" applyBorder="1" applyAlignment="1" applyProtection="1">
      <alignment vertical="center"/>
    </xf>
    <xf numFmtId="3" fontId="12" fillId="0" borderId="259" xfId="22" applyNumberFormat="1" applyFont="1" applyBorder="1" applyAlignment="1" applyProtection="1">
      <alignment vertical="center"/>
    </xf>
    <xf numFmtId="0" fontId="12" fillId="0" borderId="78" xfId="22" applyFont="1" applyBorder="1" applyAlignment="1" applyProtection="1">
      <alignment vertical="center"/>
    </xf>
    <xf numFmtId="3" fontId="12" fillId="0" borderId="264" xfId="22" applyNumberFormat="1" applyFont="1" applyBorder="1" applyAlignment="1" applyProtection="1">
      <alignment vertical="center"/>
    </xf>
    <xf numFmtId="0" fontId="31" fillId="0" borderId="79" xfId="22" applyFont="1" applyFill="1" applyBorder="1" applyAlignment="1" applyProtection="1">
      <alignment vertical="center"/>
    </xf>
    <xf numFmtId="3" fontId="12" fillId="0" borderId="239" xfId="22" applyNumberFormat="1" applyFont="1" applyFill="1" applyBorder="1" applyAlignment="1" applyProtection="1">
      <alignment vertical="center"/>
    </xf>
    <xf numFmtId="3" fontId="12" fillId="0" borderId="263" xfId="22" applyNumberFormat="1" applyFont="1" applyBorder="1" applyAlignment="1" applyProtection="1">
      <alignment vertical="center"/>
    </xf>
    <xf numFmtId="3" fontId="12" fillId="0" borderId="73" xfId="22" applyNumberFormat="1" applyFont="1" applyBorder="1" applyAlignment="1" applyProtection="1">
      <alignment vertical="center"/>
    </xf>
    <xf numFmtId="3" fontId="12" fillId="0" borderId="239" xfId="22" applyNumberFormat="1" applyFont="1" applyBorder="1" applyAlignment="1" applyProtection="1">
      <alignment vertical="center"/>
    </xf>
    <xf numFmtId="0" fontId="31" fillId="0" borderId="0" xfId="22" applyFont="1" applyBorder="1" applyAlignment="1" applyProtection="1">
      <alignment horizontal="left"/>
    </xf>
    <xf numFmtId="0" fontId="12" fillId="0" borderId="46" xfId="22" applyFont="1" applyBorder="1" applyAlignment="1" applyProtection="1">
      <alignment horizontal="left"/>
    </xf>
    <xf numFmtId="0" fontId="31" fillId="0" borderId="175" xfId="22" applyFont="1" applyBorder="1" applyAlignment="1" applyProtection="1">
      <alignment horizontal="left"/>
    </xf>
    <xf numFmtId="0" fontId="12" fillId="0" borderId="280" xfId="22" applyFont="1" applyBorder="1" applyAlignment="1" applyProtection="1">
      <alignment horizontal="left"/>
    </xf>
    <xf numFmtId="0" fontId="31" fillId="0" borderId="281" xfId="22" applyFont="1" applyBorder="1" applyAlignment="1" applyProtection="1">
      <alignment horizontal="left"/>
    </xf>
    <xf numFmtId="0" fontId="74" fillId="0" borderId="200" xfId="22" applyFont="1" applyBorder="1" applyAlignment="1" applyProtection="1">
      <alignment horizontal="left" wrapText="1"/>
    </xf>
    <xf numFmtId="0" fontId="12" fillId="0" borderId="265" xfId="22" applyBorder="1"/>
    <xf numFmtId="0" fontId="29" fillId="0" borderId="265" xfId="22" applyFont="1" applyBorder="1" applyAlignment="1" applyProtection="1">
      <alignment horizontal="center" vertical="center" wrapText="1"/>
    </xf>
    <xf numFmtId="0" fontId="31" fillId="0" borderId="265" xfId="22" applyFont="1" applyBorder="1" applyAlignment="1" applyProtection="1">
      <alignment horizontal="center" vertical="center" wrapText="1"/>
    </xf>
    <xf numFmtId="0" fontId="31" fillId="0" borderId="59" xfId="22" applyFont="1" applyBorder="1" applyAlignment="1" applyProtection="1">
      <alignment horizontal="left"/>
    </xf>
    <xf numFmtId="0" fontId="31" fillId="0" borderId="174" xfId="22" applyFont="1" applyBorder="1" applyAlignment="1" applyProtection="1">
      <alignment horizontal="left"/>
    </xf>
    <xf numFmtId="0" fontId="12" fillId="0" borderId="286" xfId="22" applyFont="1" applyBorder="1" applyAlignment="1" applyProtection="1">
      <alignment horizontal="left"/>
    </xf>
    <xf numFmtId="0" fontId="31" fillId="0" borderId="287" xfId="22" applyFont="1" applyBorder="1" applyAlignment="1" applyProtection="1">
      <alignment horizontal="left"/>
    </xf>
    <xf numFmtId="0" fontId="74" fillId="0" borderId="288" xfId="22" applyFont="1" applyBorder="1" applyAlignment="1" applyProtection="1">
      <alignment horizontal="left" wrapText="1"/>
    </xf>
    <xf numFmtId="0" fontId="12" fillId="0" borderId="258" xfId="22" applyFont="1" applyBorder="1" applyAlignment="1" applyProtection="1">
      <alignment vertical="center"/>
    </xf>
    <xf numFmtId="0" fontId="12" fillId="0" borderId="262" xfId="22" applyFont="1" applyBorder="1" applyAlignment="1" applyProtection="1">
      <alignment vertical="center"/>
    </xf>
    <xf numFmtId="0" fontId="31" fillId="0" borderId="289" xfId="22" applyFont="1" applyFill="1" applyBorder="1" applyAlignment="1" applyProtection="1">
      <alignment vertical="center"/>
    </xf>
    <xf numFmtId="0" fontId="12" fillId="0" borderId="19" xfId="22" applyFont="1" applyBorder="1" applyAlignment="1" applyProtection="1">
      <alignment vertical="center"/>
    </xf>
    <xf numFmtId="0" fontId="12" fillId="0" borderId="175" xfId="22" applyBorder="1" applyProtection="1"/>
    <xf numFmtId="0" fontId="12" fillId="0" borderId="199" xfId="22" applyBorder="1" applyProtection="1"/>
    <xf numFmtId="0" fontId="12" fillId="0" borderId="200" xfId="22" applyBorder="1" applyProtection="1"/>
    <xf numFmtId="0" fontId="31" fillId="0" borderId="80" xfId="22" applyFont="1" applyBorder="1" applyAlignment="1" applyProtection="1">
      <alignment vertical="center"/>
    </xf>
    <xf numFmtId="3" fontId="12" fillId="0" borderId="74" xfId="22" applyNumberFormat="1" applyBorder="1" applyAlignment="1" applyProtection="1">
      <alignment horizontal="center" vertical="center"/>
    </xf>
    <xf numFmtId="0" fontId="63" fillId="0" borderId="0" xfId="0" applyFont="1" applyFill="1" applyAlignment="1" applyProtection="1">
      <alignment horizontal="center"/>
    </xf>
    <xf numFmtId="0" fontId="79" fillId="0" borderId="0" xfId="0" applyFont="1" applyAlignment="1" applyProtection="1">
      <alignment horizontal="center"/>
    </xf>
    <xf numFmtId="2" fontId="26" fillId="0" borderId="0" xfId="22" applyNumberFormat="1" applyFont="1" applyAlignment="1" applyProtection="1">
      <alignment horizontal="center"/>
    </xf>
    <xf numFmtId="0" fontId="26" fillId="0" borderId="0" xfId="22" applyFont="1" applyAlignment="1" applyProtection="1">
      <alignment horizontal="center"/>
    </xf>
    <xf numFmtId="0" fontId="17" fillId="0" borderId="0" xfId="0" applyFont="1" applyFill="1" applyAlignment="1" applyProtection="1">
      <alignment horizontal="center"/>
    </xf>
    <xf numFmtId="0" fontId="41" fillId="0" borderId="0" xfId="0" applyFont="1" applyAlignment="1" applyProtection="1">
      <alignment horizontal="center"/>
    </xf>
    <xf numFmtId="0" fontId="163" fillId="0" borderId="230" xfId="22" applyFont="1" applyBorder="1" applyAlignment="1" applyProtection="1">
      <alignment horizontal="center" vertical="center" wrapText="1"/>
    </xf>
    <xf numFmtId="3" fontId="59" fillId="0" borderId="231" xfId="22" applyNumberFormat="1" applyFont="1" applyBorder="1" applyAlignment="1" applyProtection="1">
      <alignment horizontal="right" vertical="center"/>
    </xf>
    <xf numFmtId="3" fontId="59" fillId="0" borderId="232" xfId="22" applyNumberFormat="1" applyFont="1" applyBorder="1" applyAlignment="1" applyProtection="1">
      <alignment horizontal="right" vertical="center"/>
    </xf>
    <xf numFmtId="0" fontId="25" fillId="0" borderId="290" xfId="0" applyFont="1" applyBorder="1" applyAlignment="1" applyProtection="1">
      <alignment vertical="center" wrapText="1"/>
    </xf>
    <xf numFmtId="3" fontId="13" fillId="0" borderId="291" xfId="0" applyNumberFormat="1" applyFont="1" applyFill="1" applyBorder="1" applyAlignment="1" applyProtection="1">
      <alignment horizontal="right" vertical="center" wrapText="1"/>
      <protection locked="0"/>
    </xf>
    <xf numFmtId="0" fontId="18" fillId="0" borderId="292" xfId="0" applyFont="1" applyBorder="1" applyAlignment="1" applyProtection="1">
      <alignment horizontal="center" vertical="center" wrapText="1"/>
    </xf>
    <xf numFmtId="3" fontId="18" fillId="0" borderId="293" xfId="0" applyNumberFormat="1" applyFont="1" applyBorder="1" applyAlignment="1" applyProtection="1">
      <alignment horizontal="center" vertical="center"/>
    </xf>
    <xf numFmtId="0" fontId="17" fillId="0" borderId="3" xfId="0" applyFont="1" applyFill="1" applyBorder="1" applyAlignment="1" applyProtection="1">
      <alignment horizontal="center" vertical="center" wrapText="1"/>
    </xf>
    <xf numFmtId="49" fontId="48" fillId="0" borderId="3" xfId="0" applyNumberFormat="1" applyFont="1" applyFill="1" applyBorder="1" applyAlignment="1" applyProtection="1">
      <alignment horizontal="center" vertical="center" wrapText="1"/>
    </xf>
    <xf numFmtId="49" fontId="41" fillId="0" borderId="3" xfId="0" applyNumberFormat="1" applyFont="1" applyFill="1" applyBorder="1" applyAlignment="1" applyProtection="1">
      <alignment horizontal="center" vertical="center" wrapText="1"/>
    </xf>
    <xf numFmtId="0" fontId="48" fillId="0" borderId="3" xfId="0" applyFont="1" applyFill="1" applyBorder="1" applyAlignment="1" applyProtection="1">
      <alignment horizontal="center" vertical="center" wrapText="1"/>
    </xf>
    <xf numFmtId="0" fontId="0" fillId="0" borderId="42" xfId="0" applyFont="1" applyFill="1" applyBorder="1" applyAlignment="1" applyProtection="1">
      <alignment horizontal="center"/>
    </xf>
    <xf numFmtId="0" fontId="0" fillId="0" borderId="42" xfId="0" applyFont="1" applyFill="1" applyBorder="1" applyAlignment="1" applyProtection="1">
      <alignment horizontal="center" vertical="center"/>
    </xf>
    <xf numFmtId="49" fontId="0" fillId="0" borderId="42" xfId="0" applyNumberFormat="1" applyFill="1" applyBorder="1" applyAlignment="1" applyProtection="1">
      <alignment horizontal="center" vertical="center"/>
    </xf>
    <xf numFmtId="0" fontId="0" fillId="0" borderId="42" xfId="0" applyFill="1" applyBorder="1" applyAlignment="1" applyProtection="1">
      <alignment horizontal="center"/>
    </xf>
    <xf numFmtId="3" fontId="0" fillId="0" borderId="103" xfId="0" applyNumberFormat="1" applyFill="1" applyBorder="1" applyAlignment="1" applyProtection="1">
      <alignment horizontal="right" vertical="center"/>
    </xf>
    <xf numFmtId="3" fontId="0" fillId="0" borderId="240" xfId="0" applyNumberFormat="1" applyFill="1" applyBorder="1" applyAlignment="1" applyProtection="1">
      <alignment horizontal="right" vertical="center"/>
    </xf>
    <xf numFmtId="3" fontId="0" fillId="0" borderId="242" xfId="0" applyNumberFormat="1" applyFill="1" applyBorder="1" applyAlignment="1" applyProtection="1">
      <alignment horizontal="right" vertical="center"/>
    </xf>
    <xf numFmtId="3" fontId="0" fillId="0" borderId="100" xfId="0" applyNumberFormat="1" applyFill="1" applyBorder="1" applyProtection="1"/>
    <xf numFmtId="3" fontId="0" fillId="0" borderId="102" xfId="0" applyNumberFormat="1" applyFill="1" applyBorder="1" applyProtection="1"/>
    <xf numFmtId="3" fontId="0" fillId="0" borderId="91" xfId="0" applyNumberFormat="1" applyFill="1" applyBorder="1" applyProtection="1">
      <protection locked="0"/>
    </xf>
    <xf numFmtId="3" fontId="0" fillId="0" borderId="103" xfId="0" applyNumberFormat="1" applyFill="1" applyBorder="1" applyProtection="1">
      <protection locked="0"/>
    </xf>
    <xf numFmtId="0" fontId="41" fillId="0" borderId="294" xfId="0" applyFont="1" applyFill="1" applyBorder="1" applyAlignment="1" applyProtection="1">
      <alignment horizontal="left" vertical="center" wrapText="1"/>
    </xf>
    <xf numFmtId="0" fontId="0" fillId="0" borderId="206" xfId="0" applyFont="1" applyFill="1" applyBorder="1" applyProtection="1"/>
    <xf numFmtId="0" fontId="0" fillId="0" borderId="206" xfId="0" applyFont="1" applyFill="1" applyBorder="1" applyAlignment="1" applyProtection="1">
      <alignment vertical="center" wrapText="1"/>
    </xf>
    <xf numFmtId="0" fontId="41" fillId="0" borderId="206" xfId="0" applyFont="1" applyFill="1" applyBorder="1" applyAlignment="1" applyProtection="1">
      <alignment vertical="center" wrapText="1"/>
    </xf>
    <xf numFmtId="0" fontId="41" fillId="0" borderId="295" xfId="0" applyFont="1" applyFill="1" applyBorder="1" applyAlignment="1" applyProtection="1">
      <alignment vertical="center" wrapText="1"/>
    </xf>
    <xf numFmtId="3" fontId="0" fillId="0" borderId="163" xfId="0" applyNumberFormat="1" applyFill="1" applyBorder="1" applyAlignment="1" applyProtection="1">
      <alignment horizontal="right" vertical="center"/>
    </xf>
    <xf numFmtId="3" fontId="0" fillId="0" borderId="127" xfId="0" applyNumberFormat="1" applyFill="1" applyBorder="1" applyAlignment="1" applyProtection="1">
      <alignment horizontal="right" vertical="center"/>
    </xf>
    <xf numFmtId="3" fontId="0" fillId="0" borderId="164" xfId="0" applyNumberFormat="1" applyFill="1" applyBorder="1" applyAlignment="1" applyProtection="1">
      <alignment horizontal="right" vertical="center"/>
    </xf>
    <xf numFmtId="0" fontId="0" fillId="0" borderId="170" xfId="0" applyFill="1" applyBorder="1" applyAlignment="1" applyProtection="1">
      <alignment horizontal="center" vertical="center"/>
    </xf>
    <xf numFmtId="0" fontId="0" fillId="0" borderId="126" xfId="0" applyFill="1" applyBorder="1" applyAlignment="1" applyProtection="1">
      <alignment horizontal="center" vertical="center"/>
    </xf>
    <xf numFmtId="0" fontId="0" fillId="0" borderId="171" xfId="0" applyFill="1" applyBorder="1" applyAlignment="1" applyProtection="1">
      <alignment horizontal="center" vertical="center"/>
    </xf>
    <xf numFmtId="0" fontId="221" fillId="0" borderId="0" xfId="0" applyFont="1" applyAlignment="1" applyProtection="1">
      <alignment vertical="center"/>
    </xf>
    <xf numFmtId="3" fontId="50" fillId="18" borderId="0" xfId="0" applyNumberFormat="1" applyFont="1" applyFill="1" applyAlignment="1" applyProtection="1">
      <alignment horizontal="center" vertical="center"/>
    </xf>
    <xf numFmtId="3" fontId="222" fillId="18" borderId="0" xfId="0" applyNumberFormat="1" applyFont="1" applyFill="1" applyAlignment="1" applyProtection="1">
      <alignment horizontal="center" vertical="center"/>
    </xf>
    <xf numFmtId="0" fontId="222" fillId="22" borderId="0" xfId="0" applyFont="1" applyFill="1" applyAlignment="1" applyProtection="1">
      <alignment horizontal="center" vertical="center"/>
    </xf>
    <xf numFmtId="2" fontId="222" fillId="0" borderId="0" xfId="0" applyNumberFormat="1" applyFont="1" applyFill="1" applyAlignment="1" applyProtection="1">
      <alignment vertical="center"/>
    </xf>
    <xf numFmtId="3" fontId="232" fillId="18" borderId="0" xfId="0" applyNumberFormat="1" applyFont="1" applyFill="1" applyBorder="1" applyAlignment="1" applyProtection="1">
      <alignment vertical="center"/>
    </xf>
    <xf numFmtId="3" fontId="11" fillId="0" borderId="0" xfId="0" applyNumberFormat="1" applyFont="1" applyFill="1" applyProtection="1">
      <protection locked="0"/>
    </xf>
    <xf numFmtId="3" fontId="25" fillId="0" borderId="7" xfId="0" applyNumberFormat="1" applyFont="1" applyFill="1" applyBorder="1" applyAlignment="1" applyProtection="1">
      <alignment vertical="center" wrapText="1"/>
      <protection locked="0"/>
    </xf>
    <xf numFmtId="3" fontId="25" fillId="0" borderId="28" xfId="0" applyNumberFormat="1" applyFont="1" applyFill="1" applyBorder="1" applyAlignment="1" applyProtection="1">
      <alignment vertical="center" wrapText="1"/>
      <protection locked="0"/>
    </xf>
    <xf numFmtId="4" fontId="103" fillId="0" borderId="0" xfId="72" applyNumberFormat="1" applyFont="1" applyFill="1" applyBorder="1" applyAlignment="1">
      <alignment horizontal="center"/>
    </xf>
    <xf numFmtId="4" fontId="103" fillId="0" borderId="269" xfId="72" applyNumberFormat="1" applyFont="1" applyFill="1" applyBorder="1" applyAlignment="1">
      <alignment horizontal="center" vertical="center" wrapText="1"/>
    </xf>
    <xf numFmtId="4" fontId="204" fillId="0" borderId="269" xfId="72" applyNumberFormat="1" applyFont="1" applyFill="1" applyBorder="1" applyAlignment="1">
      <alignment horizontal="center" vertical="center" wrapText="1"/>
    </xf>
    <xf numFmtId="4" fontId="42" fillId="0" borderId="297" xfId="72" applyNumberFormat="1" applyFont="1" applyFill="1" applyBorder="1" applyAlignment="1">
      <alignment horizontal="center"/>
    </xf>
    <xf numFmtId="4" fontId="20" fillId="0" borderId="297" xfId="72" applyNumberFormat="1" applyFont="1" applyFill="1" applyBorder="1" applyAlignment="1">
      <alignment horizontal="center"/>
    </xf>
    <xf numFmtId="4" fontId="42" fillId="0" borderId="234" xfId="43" applyNumberFormat="1" applyFont="1" applyFill="1" applyBorder="1" applyAlignment="1" applyProtection="1">
      <alignment horizontal="left" wrapText="1"/>
    </xf>
    <xf numFmtId="4" fontId="42" fillId="0" borderId="234" xfId="73" applyNumberFormat="1" applyFont="1" applyFill="1" applyBorder="1" applyAlignment="1" applyProtection="1">
      <alignment horizontal="right" wrapText="1"/>
    </xf>
    <xf numFmtId="4" fontId="42" fillId="0" borderId="234" xfId="43" applyNumberFormat="1" applyFont="1" applyFill="1" applyBorder="1" applyAlignment="1">
      <alignment wrapText="1"/>
    </xf>
    <xf numFmtId="4" fontId="42" fillId="0" borderId="234" xfId="73" applyNumberFormat="1" applyFont="1" applyFill="1" applyBorder="1" applyAlignment="1">
      <alignment horizontal="right" wrapText="1"/>
    </xf>
    <xf numFmtId="4" fontId="42" fillId="0" borderId="234" xfId="43" applyNumberFormat="1" applyFont="1" applyFill="1" applyBorder="1" applyAlignment="1">
      <alignment horizontal="left" vertical="center" wrapText="1"/>
    </xf>
    <xf numFmtId="4" fontId="42" fillId="0" borderId="234" xfId="73" applyNumberFormat="1" applyFont="1" applyFill="1" applyBorder="1" applyAlignment="1">
      <alignment horizontal="right" vertical="center" wrapText="1"/>
    </xf>
    <xf numFmtId="4" fontId="42" fillId="0" borderId="233" xfId="43" applyNumberFormat="1" applyFont="1" applyFill="1" applyBorder="1" applyAlignment="1">
      <alignment wrapText="1"/>
    </xf>
    <xf numFmtId="4" fontId="106" fillId="0" borderId="233" xfId="43" applyNumberFormat="1" applyFont="1" applyFill="1" applyBorder="1" applyAlignment="1">
      <alignment wrapText="1"/>
    </xf>
    <xf numFmtId="4" fontId="195" fillId="0" borderId="234" xfId="72" applyNumberFormat="1" applyFont="1" applyFill="1" applyBorder="1" applyAlignment="1">
      <alignment horizontal="right"/>
    </xf>
    <xf numFmtId="4" fontId="106" fillId="0" borderId="233" xfId="43" applyNumberFormat="1" applyFont="1" applyFill="1" applyBorder="1" applyAlignment="1" applyProtection="1">
      <alignment horizontal="left" vertical="center" wrapText="1"/>
    </xf>
    <xf numFmtId="4" fontId="103" fillId="0" borderId="234" xfId="73" applyNumberFormat="1" applyFont="1" applyFill="1" applyBorder="1" applyAlignment="1">
      <alignment horizontal="right" wrapText="1"/>
    </xf>
    <xf numFmtId="4" fontId="196" fillId="0" borderId="233" xfId="43" applyNumberFormat="1" applyFont="1" applyFill="1" applyBorder="1" applyAlignment="1">
      <alignment wrapText="1"/>
    </xf>
    <xf numFmtId="4" fontId="197" fillId="0" borderId="234" xfId="72" applyNumberFormat="1" applyFont="1" applyFill="1" applyBorder="1" applyAlignment="1">
      <alignment horizontal="right"/>
    </xf>
    <xf numFmtId="4" fontId="42" fillId="0" borderId="234" xfId="73" applyNumberFormat="1" applyFont="1" applyFill="1" applyBorder="1" applyAlignment="1">
      <alignment horizontal="right"/>
    </xf>
    <xf numFmtId="4" fontId="42" fillId="0" borderId="233" xfId="73" applyNumberFormat="1" applyFont="1" applyFill="1" applyBorder="1" applyAlignment="1">
      <alignment wrapText="1"/>
    </xf>
    <xf numFmtId="4" fontId="106" fillId="0" borderId="233" xfId="73" applyNumberFormat="1" applyFont="1" applyFill="1" applyBorder="1" applyAlignment="1">
      <alignment wrapText="1"/>
    </xf>
    <xf numFmtId="4" fontId="103" fillId="0" borderId="234" xfId="73" applyNumberFormat="1" applyFont="1" applyFill="1" applyBorder="1" applyAlignment="1" applyProtection="1">
      <alignment horizontal="right" wrapText="1"/>
    </xf>
    <xf numFmtId="4" fontId="106" fillId="0" borderId="233" xfId="72" applyNumberFormat="1" applyFont="1" applyFill="1" applyBorder="1" applyAlignment="1" applyProtection="1">
      <alignment wrapText="1"/>
    </xf>
    <xf numFmtId="4" fontId="106" fillId="0" borderId="233" xfId="72" applyNumberFormat="1" applyFont="1" applyFill="1" applyBorder="1" applyAlignment="1" applyProtection="1">
      <alignment horizontal="left" wrapText="1"/>
    </xf>
    <xf numFmtId="4" fontId="42" fillId="0" borderId="233" xfId="72" applyNumberFormat="1" applyFont="1" applyFill="1" applyBorder="1" applyAlignment="1" applyProtection="1">
      <alignment horizontal="left" wrapText="1"/>
    </xf>
    <xf numFmtId="4" fontId="109" fillId="0" borderId="233" xfId="43" applyNumberFormat="1" applyFont="1" applyFill="1" applyBorder="1" applyAlignment="1">
      <alignment wrapText="1"/>
    </xf>
    <xf numFmtId="4" fontId="106" fillId="0" borderId="233" xfId="43" applyNumberFormat="1" applyFont="1" applyFill="1" applyBorder="1" applyAlignment="1" applyProtection="1">
      <alignment wrapText="1"/>
    </xf>
    <xf numFmtId="4" fontId="109" fillId="0" borderId="233" xfId="43" applyNumberFormat="1" applyFont="1" applyFill="1" applyBorder="1" applyAlignment="1">
      <alignment horizontal="left" vertical="center" wrapText="1"/>
    </xf>
    <xf numFmtId="4" fontId="198" fillId="0" borderId="233" xfId="73" applyNumberFormat="1" applyFont="1" applyFill="1" applyBorder="1" applyAlignment="1">
      <alignment horizontal="left" vertical="center" wrapText="1"/>
    </xf>
    <xf numFmtId="4" fontId="109" fillId="0" borderId="233" xfId="73" applyNumberFormat="1" applyFont="1" applyFill="1" applyBorder="1" applyAlignment="1">
      <alignment horizontal="left" vertical="center" wrapText="1"/>
    </xf>
    <xf numFmtId="4" fontId="106" fillId="0" borderId="233" xfId="72" applyNumberFormat="1" applyFont="1" applyFill="1" applyBorder="1" applyAlignment="1" applyProtection="1">
      <alignment vertical="top" wrapText="1"/>
    </xf>
    <xf numFmtId="4" fontId="106" fillId="0" borderId="233" xfId="72" applyNumberFormat="1" applyFont="1" applyFill="1" applyBorder="1" applyAlignment="1" applyProtection="1">
      <alignment horizontal="left" vertical="top" wrapText="1"/>
    </xf>
    <xf numFmtId="4" fontId="42" fillId="0" borderId="233" xfId="74" applyNumberFormat="1" applyFont="1" applyFill="1" applyBorder="1" applyAlignment="1">
      <alignment vertical="top" wrapText="1"/>
    </xf>
    <xf numFmtId="4" fontId="106" fillId="0" borderId="233" xfId="74" applyNumberFormat="1" applyFont="1" applyFill="1" applyBorder="1" applyAlignment="1">
      <alignment vertical="top" wrapText="1"/>
    </xf>
    <xf numFmtId="4" fontId="42" fillId="0" borderId="233" xfId="75" applyNumberFormat="1" applyFont="1" applyFill="1" applyBorder="1" applyAlignment="1" applyProtection="1">
      <alignment vertical="top" wrapText="1"/>
    </xf>
    <xf numFmtId="4" fontId="106" fillId="0" borderId="233" xfId="43" applyNumberFormat="1" applyFont="1" applyFill="1" applyBorder="1" applyAlignment="1">
      <alignment horizontal="left" wrapText="1"/>
    </xf>
    <xf numFmtId="4" fontId="106" fillId="0" borderId="233" xfId="72" applyNumberFormat="1" applyFont="1" applyFill="1" applyBorder="1" applyAlignment="1">
      <alignment horizontal="left" vertical="center" wrapText="1"/>
    </xf>
    <xf numFmtId="4" fontId="42" fillId="0" borderId="233" xfId="43" applyNumberFormat="1" applyFont="1" applyFill="1" applyBorder="1" applyAlignment="1"/>
    <xf numFmtId="4" fontId="106" fillId="0" borderId="233" xfId="43" applyNumberFormat="1" applyFont="1" applyFill="1" applyBorder="1" applyAlignment="1"/>
    <xf numFmtId="3" fontId="214" fillId="0" borderId="234" xfId="0" applyNumberFormat="1" applyFont="1" applyFill="1" applyBorder="1"/>
    <xf numFmtId="4" fontId="233" fillId="0" borderId="0" xfId="49" applyNumberFormat="1" applyFont="1" applyFill="1" applyBorder="1" applyAlignment="1" applyProtection="1">
      <alignment horizontal="center"/>
      <protection locked="0"/>
    </xf>
    <xf numFmtId="0" fontId="79" fillId="0" borderId="0" xfId="0" applyFont="1" applyFill="1" applyAlignment="1" applyProtection="1">
      <alignment horizontal="center"/>
      <protection locked="0"/>
    </xf>
    <xf numFmtId="0" fontId="41" fillId="0" borderId="296" xfId="31" applyFont="1" applyBorder="1" applyAlignment="1" applyProtection="1">
      <alignment horizontal="left" vertical="center" wrapText="1"/>
    </xf>
    <xf numFmtId="0" fontId="44" fillId="0" borderId="296" xfId="31" applyFont="1" applyBorder="1" applyAlignment="1" applyProtection="1">
      <alignment horizontal="right" vertical="center"/>
    </xf>
    <xf numFmtId="3" fontId="17" fillId="0" borderId="296" xfId="31" applyNumberFormat="1" applyFont="1" applyBorder="1" applyAlignment="1" applyProtection="1">
      <alignment horizontal="right" vertical="center"/>
    </xf>
    <xf numFmtId="0" fontId="48" fillId="0" borderId="296" xfId="31" applyFont="1" applyBorder="1" applyAlignment="1" applyProtection="1">
      <alignment horizontal="right" vertical="center"/>
    </xf>
    <xf numFmtId="0" fontId="11" fillId="0" borderId="296" xfId="31" applyFont="1" applyBorder="1" applyAlignment="1" applyProtection="1">
      <alignment vertical="center" wrapText="1"/>
    </xf>
    <xf numFmtId="0" fontId="13" fillId="0" borderId="296" xfId="31" applyBorder="1" applyAlignment="1" applyProtection="1">
      <alignment horizontal="right" vertical="center"/>
    </xf>
    <xf numFmtId="3" fontId="13" fillId="0" borderId="296" xfId="31" applyNumberFormat="1" applyBorder="1" applyAlignment="1" applyProtection="1">
      <alignment horizontal="right" vertical="center"/>
      <protection locked="0"/>
    </xf>
    <xf numFmtId="3" fontId="27" fillId="0" borderId="296" xfId="31" applyNumberFormat="1" applyFont="1" applyBorder="1" applyAlignment="1" applyProtection="1">
      <alignment horizontal="right" vertical="center"/>
      <protection locked="0"/>
    </xf>
    <xf numFmtId="3" fontId="13" fillId="0" borderId="296" xfId="31" applyNumberFormat="1" applyBorder="1" applyAlignment="1" applyProtection="1">
      <alignment horizontal="right" vertical="center"/>
    </xf>
    <xf numFmtId="0" fontId="44" fillId="0" borderId="112" xfId="31" applyFont="1" applyBorder="1" applyAlignment="1" applyProtection="1">
      <alignment horizontal="center" vertical="center"/>
    </xf>
    <xf numFmtId="0" fontId="11" fillId="0" borderId="296" xfId="31" applyFont="1" applyBorder="1" applyAlignment="1" applyProtection="1">
      <alignment horizontal="left" vertical="center" wrapText="1"/>
    </xf>
    <xf numFmtId="3" fontId="16" fillId="0" borderId="296" xfId="31" applyNumberFormat="1" applyFont="1" applyBorder="1" applyAlignment="1" applyProtection="1">
      <alignment horizontal="right" vertical="center"/>
      <protection locked="0"/>
    </xf>
    <xf numFmtId="0" fontId="44" fillId="0" borderId="78" xfId="31" applyFont="1" applyBorder="1" applyAlignment="1" applyProtection="1">
      <alignment horizontal="center" vertical="center"/>
    </xf>
    <xf numFmtId="0" fontId="11" fillId="0" borderId="263" xfId="31" applyFont="1" applyBorder="1" applyAlignment="1" applyProtection="1">
      <alignment vertical="center" wrapText="1"/>
    </xf>
    <xf numFmtId="0" fontId="13" fillId="0" borderId="263" xfId="31" applyFill="1" applyBorder="1" applyAlignment="1" applyProtection="1">
      <alignment horizontal="right" vertical="center"/>
    </xf>
    <xf numFmtId="0" fontId="13" fillId="0" borderId="263" xfId="31" applyBorder="1" applyAlignment="1" applyProtection="1">
      <alignment horizontal="right" vertical="center"/>
    </xf>
    <xf numFmtId="3" fontId="13" fillId="0" borderId="263" xfId="31" applyNumberFormat="1" applyBorder="1" applyAlignment="1" applyProtection="1">
      <alignment horizontal="right" vertical="center"/>
      <protection locked="0"/>
    </xf>
    <xf numFmtId="0" fontId="13" fillId="0" borderId="263" xfId="31" applyBorder="1" applyAlignment="1" applyProtection="1">
      <alignment horizontal="right" vertical="center"/>
      <protection locked="0"/>
    </xf>
    <xf numFmtId="3" fontId="27" fillId="0" borderId="263" xfId="31" applyNumberFormat="1" applyFont="1" applyBorder="1" applyAlignment="1" applyProtection="1">
      <alignment horizontal="right" vertical="center"/>
      <protection locked="0"/>
    </xf>
    <xf numFmtId="0" fontId="44" fillId="0" borderId="259" xfId="31" applyFont="1" applyBorder="1" applyAlignment="1" applyProtection="1">
      <alignment horizontal="right" vertical="center"/>
    </xf>
    <xf numFmtId="0" fontId="13" fillId="0" borderId="259" xfId="31" applyBorder="1" applyAlignment="1" applyProtection="1">
      <alignment horizontal="right" vertical="center"/>
    </xf>
    <xf numFmtId="0" fontId="13" fillId="0" borderId="264" xfId="31" applyBorder="1" applyAlignment="1" applyProtection="1">
      <alignment horizontal="right" vertical="center"/>
    </xf>
    <xf numFmtId="0" fontId="12" fillId="0" borderId="275" xfId="31" applyFont="1" applyBorder="1" applyAlignment="1" applyProtection="1">
      <alignment vertical="center" textRotation="90" wrapText="1"/>
    </xf>
    <xf numFmtId="0" fontId="13" fillId="0" borderId="176" xfId="31" applyFont="1" applyBorder="1" applyAlignment="1" applyProtection="1">
      <alignment horizontal="center" vertical="center"/>
    </xf>
    <xf numFmtId="0" fontId="12" fillId="0" borderId="176" xfId="31" applyFont="1" applyBorder="1" applyAlignment="1" applyProtection="1">
      <alignment horizontal="center" vertical="center" wrapText="1"/>
    </xf>
    <xf numFmtId="0" fontId="44" fillId="0" borderId="296" xfId="31" applyFont="1" applyBorder="1" applyAlignment="1" applyProtection="1">
      <alignment horizontal="center" vertical="center"/>
    </xf>
    <xf numFmtId="0" fontId="44" fillId="0" borderId="263" xfId="31" applyFont="1" applyBorder="1" applyAlignment="1" applyProtection="1">
      <alignment horizontal="center" vertical="center"/>
    </xf>
    <xf numFmtId="0" fontId="65" fillId="0" borderId="0" xfId="31" applyFont="1" applyAlignment="1" applyProtection="1">
      <alignment horizontal="center" vertical="center"/>
    </xf>
    <xf numFmtId="0" fontId="13" fillId="0" borderId="0" xfId="31" applyAlignment="1" applyProtection="1">
      <alignment horizontal="center" vertical="center"/>
    </xf>
    <xf numFmtId="0" fontId="13" fillId="0" borderId="0" xfId="31" applyBorder="1" applyAlignment="1" applyProtection="1">
      <alignment horizontal="center" vertical="center"/>
    </xf>
    <xf numFmtId="0" fontId="26" fillId="0" borderId="0" xfId="31" applyFont="1" applyAlignment="1" applyProtection="1">
      <alignment horizontal="center" vertical="center"/>
    </xf>
    <xf numFmtId="0" fontId="74" fillId="0" borderId="176" xfId="31" applyFont="1" applyBorder="1" applyAlignment="1" applyProtection="1">
      <alignment horizontal="center" vertical="center" wrapText="1"/>
    </xf>
    <xf numFmtId="0" fontId="12" fillId="0" borderId="177" xfId="31" applyFont="1" applyBorder="1" applyAlignment="1" applyProtection="1">
      <alignment horizontal="center" vertical="center" wrapText="1"/>
    </xf>
    <xf numFmtId="0" fontId="11" fillId="0" borderId="0" xfId="31" applyFont="1" applyBorder="1" applyAlignment="1" applyProtection="1">
      <alignment vertical="center" wrapText="1"/>
    </xf>
    <xf numFmtId="0" fontId="13" fillId="0" borderId="0" xfId="31" applyFill="1" applyBorder="1" applyAlignment="1" applyProtection="1">
      <alignment horizontal="right" vertical="center"/>
    </xf>
    <xf numFmtId="0" fontId="13" fillId="0" borderId="0" xfId="31" applyBorder="1" applyAlignment="1" applyProtection="1">
      <alignment horizontal="right" vertical="center"/>
    </xf>
    <xf numFmtId="3" fontId="13" fillId="0" borderId="0" xfId="31" applyNumberFormat="1" applyBorder="1" applyAlignment="1" applyProtection="1">
      <alignment horizontal="right" vertical="center"/>
      <protection locked="0"/>
    </xf>
    <xf numFmtId="0" fontId="13" fillId="0" borderId="0" xfId="31" applyBorder="1" applyAlignment="1" applyProtection="1">
      <alignment horizontal="right" vertical="center"/>
      <protection locked="0"/>
    </xf>
    <xf numFmtId="3" fontId="27" fillId="0" borderId="0" xfId="31" applyNumberFormat="1" applyFont="1" applyBorder="1" applyAlignment="1" applyProtection="1">
      <alignment horizontal="right" vertical="center"/>
      <protection locked="0"/>
    </xf>
    <xf numFmtId="0" fontId="13" fillId="0" borderId="296" xfId="31" applyFill="1" applyBorder="1" applyAlignment="1" applyProtection="1">
      <alignment horizontal="right" vertical="center"/>
    </xf>
    <xf numFmtId="0" fontId="13" fillId="0" borderId="296" xfId="31" applyBorder="1" applyAlignment="1" applyProtection="1">
      <alignment horizontal="right" vertical="center"/>
      <protection locked="0"/>
    </xf>
    <xf numFmtId="0" fontId="44" fillId="0" borderId="258" xfId="31" applyFont="1" applyBorder="1" applyAlignment="1" applyProtection="1">
      <alignment horizontal="center" vertical="center"/>
    </xf>
    <xf numFmtId="0" fontId="44" fillId="0" borderId="262" xfId="31" applyFont="1" applyBorder="1" applyAlignment="1" applyProtection="1">
      <alignment horizontal="center" vertical="center"/>
    </xf>
    <xf numFmtId="2" fontId="29" fillId="0" borderId="0" xfId="31" applyNumberFormat="1" applyFont="1" applyAlignment="1" applyProtection="1">
      <alignment vertical="center"/>
    </xf>
    <xf numFmtId="0" fontId="12" fillId="0" borderId="0" xfId="31" applyFont="1" applyBorder="1" applyAlignment="1" applyProtection="1">
      <alignment horizontal="center" vertical="center"/>
    </xf>
    <xf numFmtId="0" fontId="44" fillId="0" borderId="300" xfId="31" applyFont="1" applyBorder="1" applyAlignment="1" applyProtection="1">
      <alignment horizontal="center" vertical="center"/>
    </xf>
    <xf numFmtId="0" fontId="41" fillId="0" borderId="299" xfId="31" applyFont="1" applyBorder="1" applyAlignment="1" applyProtection="1">
      <alignment horizontal="left" vertical="center" wrapText="1"/>
    </xf>
    <xf numFmtId="0" fontId="44" fillId="0" borderId="302" xfId="31" applyFont="1" applyBorder="1" applyAlignment="1" applyProtection="1">
      <alignment horizontal="center" vertical="center"/>
    </xf>
    <xf numFmtId="0" fontId="13" fillId="0" borderId="299" xfId="31" applyBorder="1" applyAlignment="1" applyProtection="1">
      <alignment horizontal="right" vertical="center"/>
    </xf>
    <xf numFmtId="3" fontId="13" fillId="0" borderId="299" xfId="31" applyNumberFormat="1" applyBorder="1" applyAlignment="1" applyProtection="1">
      <alignment horizontal="right" vertical="center"/>
      <protection locked="0"/>
    </xf>
    <xf numFmtId="0" fontId="13" fillId="0" borderId="299" xfId="31" applyBorder="1" applyAlignment="1" applyProtection="1">
      <alignment horizontal="right" vertical="center"/>
      <protection locked="0"/>
    </xf>
    <xf numFmtId="3" fontId="27" fillId="0" borderId="299" xfId="31" applyNumberFormat="1" applyFont="1" applyBorder="1" applyAlignment="1" applyProtection="1">
      <alignment horizontal="right" vertical="center"/>
      <protection locked="0"/>
    </xf>
    <xf numFmtId="0" fontId="13" fillId="0" borderId="301" xfId="31" applyBorder="1" applyAlignment="1" applyProtection="1">
      <alignment horizontal="right" vertical="center"/>
    </xf>
    <xf numFmtId="3" fontId="206" fillId="0" borderId="0" xfId="0" applyNumberFormat="1" applyFont="1" applyFill="1" applyBorder="1" applyAlignment="1" applyProtection="1">
      <alignment vertical="center"/>
    </xf>
    <xf numFmtId="3" fontId="205" fillId="0" borderId="0" xfId="0" applyNumberFormat="1" applyFont="1" applyFill="1" applyBorder="1" applyAlignment="1" applyProtection="1">
      <alignment vertical="center"/>
    </xf>
    <xf numFmtId="0" fontId="12" fillId="0" borderId="0" xfId="22" applyAlignment="1" applyProtection="1">
      <alignment vertical="center"/>
    </xf>
    <xf numFmtId="0" fontId="164" fillId="0" borderId="0" xfId="22" applyFont="1" applyAlignment="1" applyProtection="1">
      <alignment vertical="center"/>
    </xf>
    <xf numFmtId="3" fontId="28" fillId="25" borderId="0" xfId="0" applyNumberFormat="1" applyFont="1" applyFill="1" applyAlignment="1" applyProtection="1">
      <alignment horizontal="center" vertical="center"/>
    </xf>
    <xf numFmtId="3" fontId="166" fillId="22" borderId="0" xfId="0" applyNumberFormat="1" applyFont="1" applyFill="1" applyBorder="1" applyAlignment="1" applyProtection="1">
      <alignment horizontal="center" vertical="center"/>
    </xf>
    <xf numFmtId="3" fontId="126" fillId="0" borderId="29" xfId="0" applyNumberFormat="1" applyFont="1" applyFill="1" applyBorder="1" applyAlignment="1" applyProtection="1">
      <alignment horizontal="right" vertical="center" wrapText="1"/>
    </xf>
    <xf numFmtId="4" fontId="11" fillId="0" borderId="29" xfId="42" applyNumberFormat="1" applyFont="1" applyFill="1" applyBorder="1" applyAlignment="1" applyProtection="1">
      <alignment wrapText="1"/>
      <protection locked="0"/>
    </xf>
    <xf numFmtId="4" fontId="126" fillId="0" borderId="29" xfId="34" applyNumberFormat="1" applyFont="1" applyFill="1" applyBorder="1" applyAlignment="1">
      <alignment horizontal="justify" vertical="center" wrapText="1"/>
    </xf>
    <xf numFmtId="0" fontId="126" fillId="0" borderId="0" xfId="49" applyFont="1" applyFill="1" applyProtection="1">
      <protection locked="0"/>
    </xf>
    <xf numFmtId="170" fontId="126" fillId="0" borderId="29" xfId="42" applyNumberFormat="1" applyFont="1" applyFill="1" applyBorder="1" applyAlignment="1" applyProtection="1">
      <alignment wrapText="1"/>
      <protection locked="0"/>
    </xf>
    <xf numFmtId="0" fontId="63" fillId="0" borderId="0" xfId="49" applyFont="1" applyFill="1" applyProtection="1">
      <protection locked="0"/>
    </xf>
    <xf numFmtId="3" fontId="11" fillId="0" borderId="29" xfId="49" applyNumberFormat="1" applyFont="1" applyFill="1" applyBorder="1" applyAlignment="1" applyProtection="1">
      <alignment horizontal="right" vertical="center" wrapText="1"/>
    </xf>
    <xf numFmtId="3" fontId="11" fillId="0" borderId="239" xfId="0" applyNumberFormat="1" applyFont="1" applyFill="1" applyBorder="1" applyAlignment="1" applyProtection="1">
      <alignment horizontal="right" vertical="center" wrapText="1"/>
    </xf>
    <xf numFmtId="3" fontId="11" fillId="0" borderId="239" xfId="0" applyNumberFormat="1" applyFont="1" applyFill="1" applyBorder="1" applyAlignment="1" applyProtection="1">
      <alignment horizontal="right" vertical="center" wrapText="1"/>
      <protection locked="0"/>
    </xf>
    <xf numFmtId="3" fontId="11" fillId="0" borderId="239" xfId="49" applyNumberFormat="1" applyFont="1" applyFill="1" applyBorder="1" applyAlignment="1" applyProtection="1">
      <alignment horizontal="right" vertical="center" wrapText="1"/>
      <protection locked="0"/>
    </xf>
    <xf numFmtId="3" fontId="123" fillId="0" borderId="239" xfId="0" applyNumberFormat="1" applyFont="1" applyFill="1" applyBorder="1" applyAlignment="1" applyProtection="1">
      <alignment horizontal="right" vertical="center" wrapText="1"/>
    </xf>
    <xf numFmtId="0" fontId="123" fillId="0" borderId="0" xfId="49" applyFont="1" applyFill="1" applyProtection="1">
      <protection locked="0"/>
    </xf>
    <xf numFmtId="4" fontId="126" fillId="12" borderId="29" xfId="0" applyNumberFormat="1" applyFont="1" applyFill="1" applyBorder="1" applyAlignment="1">
      <alignment horizontal="left" vertical="center" wrapText="1"/>
    </xf>
    <xf numFmtId="3" fontId="126" fillId="13" borderId="29" xfId="0" applyNumberFormat="1" applyFont="1" applyFill="1" applyBorder="1" applyAlignment="1" applyProtection="1">
      <alignment horizontal="right" vertical="center" wrapText="1"/>
    </xf>
    <xf numFmtId="0" fontId="41" fillId="0" borderId="0" xfId="49" applyFont="1" applyFill="1" applyAlignment="1" applyProtection="1">
      <alignment horizontal="right" vertical="center"/>
    </xf>
    <xf numFmtId="0" fontId="41" fillId="0" borderId="0" xfId="49" applyFont="1" applyFill="1" applyAlignment="1" applyProtection="1">
      <alignment horizontal="right" vertical="center"/>
      <protection locked="0"/>
    </xf>
    <xf numFmtId="0" fontId="11" fillId="0" borderId="0" xfId="49" applyFont="1" applyFill="1" applyAlignment="1" applyProtection="1">
      <alignment horizontal="right" vertical="center"/>
      <protection locked="0"/>
    </xf>
    <xf numFmtId="0" fontId="126" fillId="0" borderId="0" xfId="49" applyFont="1" applyFill="1" applyAlignment="1" applyProtection="1">
      <alignment horizontal="right" vertical="center"/>
      <protection locked="0"/>
    </xf>
    <xf numFmtId="3" fontId="11" fillId="0" borderId="0" xfId="42" applyNumberFormat="1" applyFont="1" applyFill="1" applyBorder="1" applyAlignment="1" applyProtection="1">
      <alignment horizontal="right" vertical="center" wrapText="1"/>
      <protection locked="0"/>
    </xf>
    <xf numFmtId="0" fontId="12" fillId="0" borderId="0" xfId="49" applyFont="1" applyFill="1" applyAlignment="1" applyProtection="1">
      <alignment horizontal="right" vertical="center"/>
      <protection locked="0"/>
    </xf>
    <xf numFmtId="3" fontId="41" fillId="0" borderId="0" xfId="42" applyNumberFormat="1" applyFont="1" applyFill="1" applyBorder="1" applyAlignment="1" applyProtection="1">
      <alignment horizontal="right" vertical="center" wrapText="1"/>
      <protection locked="0"/>
    </xf>
    <xf numFmtId="0" fontId="11" fillId="0" borderId="0" xfId="49" applyFont="1" applyFill="1" applyAlignment="1" applyProtection="1">
      <alignment horizontal="right" vertical="center"/>
    </xf>
    <xf numFmtId="0" fontId="16" fillId="0" borderId="0" xfId="49" applyFont="1" applyFill="1" applyAlignment="1" applyProtection="1">
      <alignment horizontal="right" vertical="center"/>
    </xf>
    <xf numFmtId="3" fontId="56" fillId="0" borderId="100" xfId="25" applyNumberFormat="1" applyFont="1" applyFill="1" applyBorder="1" applyAlignment="1" applyProtection="1">
      <alignment vertical="center"/>
    </xf>
    <xf numFmtId="3" fontId="12" fillId="0" borderId="12" xfId="22" applyNumberFormat="1" applyFill="1" applyBorder="1" applyAlignment="1" applyProtection="1">
      <alignment horizontal="right" vertical="center"/>
      <protection locked="0"/>
    </xf>
    <xf numFmtId="0" fontId="12" fillId="0" borderId="303" xfId="37" applyFont="1" applyFill="1" applyBorder="1" applyAlignment="1" applyProtection="1">
      <alignment horizontal="justify" vertical="center"/>
    </xf>
    <xf numFmtId="3" fontId="12" fillId="0" borderId="304" xfId="37" applyNumberFormat="1" applyFill="1" applyBorder="1" applyProtection="1">
      <protection locked="0"/>
    </xf>
    <xf numFmtId="3" fontId="12" fillId="0" borderId="304" xfId="37" applyNumberFormat="1" applyFill="1" applyBorder="1" applyProtection="1"/>
    <xf numFmtId="3" fontId="12" fillId="0" borderId="304" xfId="37" applyNumberFormat="1" applyFill="1" applyBorder="1" applyAlignment="1" applyProtection="1">
      <alignment vertical="center"/>
      <protection locked="0"/>
    </xf>
    <xf numFmtId="3" fontId="12" fillId="0" borderId="305" xfId="37" applyNumberFormat="1" applyFont="1" applyFill="1" applyBorder="1" applyProtection="1">
      <protection locked="0"/>
    </xf>
    <xf numFmtId="0" fontId="12" fillId="0" borderId="303" xfId="37" applyFont="1" applyFill="1" applyBorder="1" applyAlignment="1" applyProtection="1">
      <alignment vertical="center"/>
    </xf>
    <xf numFmtId="0" fontId="12" fillId="0" borderId="303" xfId="37" applyFont="1" applyFill="1" applyBorder="1" applyAlignment="1" applyProtection="1">
      <alignment horizontal="justify" vertical="center" wrapText="1"/>
    </xf>
    <xf numFmtId="0" fontId="31" fillId="0" borderId="304" xfId="37" applyFont="1" applyFill="1" applyBorder="1" applyAlignment="1" applyProtection="1">
      <alignment horizontal="center" vertical="center" wrapText="1"/>
    </xf>
    <xf numFmtId="3" fontId="31" fillId="0" borderId="305" xfId="37" applyNumberFormat="1" applyFont="1" applyFill="1" applyBorder="1" applyProtection="1">
      <protection locked="0"/>
    </xf>
    <xf numFmtId="3" fontId="12" fillId="0" borderId="304" xfId="37" applyNumberFormat="1" applyFill="1" applyBorder="1" applyAlignment="1" applyProtection="1">
      <alignment vertical="center"/>
    </xf>
    <xf numFmtId="3" fontId="31" fillId="0" borderId="305" xfId="37" applyNumberFormat="1" applyFont="1" applyFill="1" applyBorder="1" applyAlignment="1" applyProtection="1">
      <alignment vertical="center"/>
      <protection locked="0"/>
    </xf>
    <xf numFmtId="3" fontId="44" fillId="0" borderId="304" xfId="37" applyNumberFormat="1" applyFont="1" applyFill="1" applyBorder="1" applyAlignment="1" applyProtection="1">
      <alignment vertical="center"/>
    </xf>
    <xf numFmtId="4" fontId="12" fillId="0" borderId="303" xfId="37" applyNumberFormat="1" applyFont="1" applyFill="1" applyBorder="1" applyAlignment="1" applyProtection="1">
      <alignment horizontal="justify" vertical="center"/>
    </xf>
    <xf numFmtId="0" fontId="48" fillId="0" borderId="306" xfId="37" applyFont="1" applyFill="1" applyBorder="1" applyAlignment="1" applyProtection="1">
      <alignment horizontal="justify" vertical="center"/>
    </xf>
    <xf numFmtId="0" fontId="31" fillId="0" borderId="307" xfId="37" applyFont="1" applyFill="1" applyBorder="1" applyAlignment="1" applyProtection="1">
      <alignment horizontal="center" vertical="center" wrapText="1"/>
    </xf>
    <xf numFmtId="3" fontId="79" fillId="0" borderId="307" xfId="37" applyNumberFormat="1" applyFont="1" applyFill="1" applyBorder="1" applyAlignment="1" applyProtection="1">
      <alignment vertical="center"/>
    </xf>
    <xf numFmtId="3" fontId="41" fillId="0" borderId="309" xfId="37" applyNumberFormat="1" applyFont="1" applyFill="1" applyBorder="1" applyAlignment="1" applyProtection="1">
      <alignment vertical="center"/>
    </xf>
    <xf numFmtId="0" fontId="12" fillId="0" borderId="290" xfId="37" applyFont="1" applyFill="1" applyBorder="1" applyAlignment="1" applyProtection="1">
      <alignment horizontal="justify" vertical="center"/>
    </xf>
    <xf numFmtId="0" fontId="31" fillId="0" borderId="299" xfId="37" applyFont="1" applyFill="1" applyBorder="1" applyAlignment="1" applyProtection="1">
      <alignment horizontal="center" vertical="center" wrapText="1"/>
    </xf>
    <xf numFmtId="3" fontId="12" fillId="0" borderId="299" xfId="37" applyNumberFormat="1" applyFill="1" applyBorder="1" applyProtection="1">
      <protection locked="0"/>
    </xf>
    <xf numFmtId="3" fontId="12" fillId="0" borderId="299" xfId="37" applyNumberFormat="1" applyFill="1" applyBorder="1" applyProtection="1"/>
    <xf numFmtId="3" fontId="31" fillId="0" borderId="291" xfId="37" applyNumberFormat="1" applyFont="1" applyFill="1" applyBorder="1" applyProtection="1">
      <protection locked="0"/>
    </xf>
    <xf numFmtId="0" fontId="12" fillId="0" borderId="310" xfId="37" applyFont="1" applyFill="1" applyBorder="1" applyAlignment="1" applyProtection="1">
      <alignment horizontal="justify" vertical="center"/>
    </xf>
    <xf numFmtId="0" fontId="31" fillId="0" borderId="308" xfId="37" applyFont="1" applyFill="1" applyBorder="1" applyAlignment="1" applyProtection="1">
      <alignment horizontal="center" vertical="center" wrapText="1"/>
    </xf>
    <xf numFmtId="3" fontId="12" fillId="0" borderId="308" xfId="37" applyNumberFormat="1" applyFill="1" applyBorder="1" applyProtection="1">
      <protection locked="0"/>
    </xf>
    <xf numFmtId="3" fontId="12" fillId="0" borderId="308" xfId="37" applyNumberFormat="1" applyFill="1" applyBorder="1" applyProtection="1"/>
    <xf numFmtId="3" fontId="31" fillId="0" borderId="311" xfId="37" applyNumberFormat="1" applyFont="1" applyFill="1" applyBorder="1" applyProtection="1">
      <protection locked="0"/>
    </xf>
    <xf numFmtId="0" fontId="147" fillId="0" borderId="99" xfId="25" applyFont="1" applyFill="1" applyBorder="1" applyAlignment="1">
      <alignment horizontal="left" wrapText="1"/>
    </xf>
    <xf numFmtId="0" fontId="147" fillId="0" borderId="100" xfId="25" applyFont="1" applyFill="1" applyBorder="1" applyAlignment="1">
      <alignment horizontal="center" wrapText="1"/>
    </xf>
    <xf numFmtId="0" fontId="147" fillId="0" borderId="100" xfId="25" applyFont="1" applyFill="1" applyBorder="1" applyAlignment="1" applyProtection="1">
      <alignment horizontal="left" wrapText="1"/>
      <protection locked="0"/>
    </xf>
    <xf numFmtId="0" fontId="147" fillId="0" borderId="100" xfId="25" applyFont="1" applyFill="1" applyBorder="1" applyAlignment="1" applyProtection="1">
      <alignment horizontal="center"/>
      <protection locked="0"/>
    </xf>
    <xf numFmtId="4" fontId="147" fillId="0" borderId="100" xfId="25" applyNumberFormat="1" applyFont="1" applyFill="1" applyBorder="1" applyProtection="1">
      <protection locked="0"/>
    </xf>
    <xf numFmtId="4" fontId="139" fillId="0" borderId="100" xfId="25" applyNumberFormat="1" applyFont="1" applyFill="1" applyBorder="1" applyProtection="1">
      <protection locked="0"/>
    </xf>
    <xf numFmtId="0" fontId="147" fillId="0" borderId="102" xfId="25" applyFont="1" applyFill="1" applyBorder="1" applyAlignment="1" applyProtection="1">
      <alignment horizontal="center"/>
      <protection locked="0"/>
    </xf>
    <xf numFmtId="0" fontId="11" fillId="0" borderId="0" xfId="25" applyFont="1" applyAlignment="1">
      <alignment vertical="center"/>
    </xf>
    <xf numFmtId="0" fontId="149" fillId="0" borderId="313" xfId="25" applyFont="1" applyFill="1" applyBorder="1" applyAlignment="1">
      <alignment horizontal="center" vertical="center" wrapText="1"/>
    </xf>
    <xf numFmtId="0" fontId="149" fillId="0" borderId="314" xfId="25" applyFont="1" applyFill="1" applyBorder="1" applyAlignment="1">
      <alignment horizontal="center" vertical="center" wrapText="1"/>
    </xf>
    <xf numFmtId="0" fontId="149" fillId="0" borderId="42" xfId="25" applyFont="1" applyFill="1" applyBorder="1" applyAlignment="1">
      <alignment horizontal="center" vertical="center" wrapText="1"/>
    </xf>
    <xf numFmtId="0" fontId="149" fillId="0" borderId="59" xfId="25" applyFont="1" applyFill="1" applyBorder="1" applyAlignment="1">
      <alignment horizontal="center" vertical="center" wrapText="1"/>
    </xf>
    <xf numFmtId="0" fontId="149" fillId="0" borderId="315" xfId="25" applyFont="1" applyFill="1" applyBorder="1" applyAlignment="1">
      <alignment horizontal="center" vertical="center" wrapText="1"/>
    </xf>
    <xf numFmtId="0" fontId="11" fillId="0" borderId="0" xfId="25" applyAlignment="1">
      <alignment vertical="center"/>
    </xf>
    <xf numFmtId="0" fontId="234" fillId="0" borderId="0" xfId="0" applyFont="1" applyFill="1" applyProtection="1"/>
    <xf numFmtId="0" fontId="24" fillId="0" borderId="0" xfId="0" applyFont="1" applyFill="1" applyProtection="1"/>
    <xf numFmtId="0" fontId="48" fillId="0" borderId="36" xfId="0" applyFont="1" applyFill="1" applyBorder="1" applyAlignment="1" applyProtection="1">
      <alignment horizontal="center" vertical="center"/>
    </xf>
    <xf numFmtId="0" fontId="48" fillId="0" borderId="62" xfId="0" applyFont="1" applyFill="1" applyBorder="1" applyAlignment="1" applyProtection="1">
      <alignment horizontal="center"/>
    </xf>
    <xf numFmtId="0" fontId="48" fillId="0" borderId="36" xfId="0" applyFont="1" applyFill="1" applyBorder="1" applyAlignment="1" applyProtection="1">
      <alignment horizontal="center"/>
    </xf>
    <xf numFmtId="3" fontId="48" fillId="0" borderId="36" xfId="0" applyNumberFormat="1" applyFont="1" applyFill="1" applyBorder="1" applyAlignment="1" applyProtection="1">
      <alignment horizontal="center"/>
    </xf>
    <xf numFmtId="3" fontId="16" fillId="0" borderId="318" xfId="0" applyNumberFormat="1" applyFont="1" applyFill="1" applyBorder="1" applyAlignment="1" applyProtection="1">
      <alignment horizontal="center" wrapText="1"/>
    </xf>
    <xf numFmtId="3" fontId="16" fillId="0" borderId="319" xfId="0" applyNumberFormat="1" applyFont="1" applyFill="1" applyBorder="1" applyAlignment="1" applyProtection="1">
      <alignment horizontal="center" wrapText="1"/>
    </xf>
    <xf numFmtId="3" fontId="16" fillId="0" borderId="323" xfId="0" applyNumberFormat="1" applyFont="1" applyFill="1" applyBorder="1" applyAlignment="1" applyProtection="1">
      <alignment horizontal="center"/>
    </xf>
    <xf numFmtId="3" fontId="16" fillId="0" borderId="324" xfId="0" applyNumberFormat="1" applyFont="1" applyFill="1" applyBorder="1" applyAlignment="1" applyProtection="1">
      <alignment horizontal="center"/>
    </xf>
    <xf numFmtId="0" fontId="32" fillId="0" borderId="0" xfId="0" applyFont="1" applyFill="1" applyAlignment="1" applyProtection="1">
      <alignment vertical="center"/>
    </xf>
    <xf numFmtId="3" fontId="16" fillId="0" borderId="297" xfId="0" applyNumberFormat="1" applyFont="1" applyFill="1" applyBorder="1" applyAlignment="1" applyProtection="1">
      <alignment vertical="center"/>
    </xf>
    <xf numFmtId="3" fontId="27" fillId="0" borderId="297" xfId="0" applyNumberFormat="1" applyFont="1" applyFill="1" applyBorder="1" applyAlignment="1" applyProtection="1">
      <alignment vertical="center"/>
      <protection locked="0"/>
    </xf>
    <xf numFmtId="3" fontId="27" fillId="0" borderId="297" xfId="0" applyNumberFormat="1" applyFont="1" applyFill="1" applyBorder="1" applyAlignment="1" applyProtection="1">
      <alignment vertical="center"/>
    </xf>
    <xf numFmtId="0" fontId="44" fillId="0" borderId="299" xfId="31" applyFont="1" applyBorder="1" applyAlignment="1" applyProtection="1">
      <alignment horizontal="center" vertical="center"/>
    </xf>
    <xf numFmtId="0" fontId="44" fillId="0" borderId="299" xfId="31" applyFont="1" applyBorder="1" applyAlignment="1" applyProtection="1">
      <alignment horizontal="right" vertical="center"/>
    </xf>
    <xf numFmtId="3" fontId="16" fillId="0" borderId="299" xfId="31" applyNumberFormat="1" applyFont="1" applyBorder="1" applyAlignment="1" applyProtection="1">
      <alignment horizontal="right" vertical="center"/>
    </xf>
    <xf numFmtId="0" fontId="48" fillId="0" borderId="299" xfId="31" applyFont="1" applyBorder="1" applyAlignment="1" applyProtection="1">
      <alignment horizontal="right" vertical="center"/>
    </xf>
    <xf numFmtId="0" fontId="44" fillId="0" borderId="301" xfId="31" applyFont="1" applyBorder="1" applyAlignment="1" applyProtection="1">
      <alignment horizontal="right" vertical="center"/>
    </xf>
    <xf numFmtId="0" fontId="44" fillId="0" borderId="111" xfId="31" applyFont="1" applyBorder="1" applyAlignment="1" applyProtection="1">
      <alignment horizontal="center" vertical="center"/>
    </xf>
    <xf numFmtId="0" fontId="44" fillId="0" borderId="328" xfId="31" applyFont="1" applyBorder="1" applyAlignment="1" applyProtection="1">
      <alignment horizontal="center"/>
    </xf>
    <xf numFmtId="0" fontId="44" fillId="0" borderId="328" xfId="31" applyFont="1" applyBorder="1" applyAlignment="1" applyProtection="1">
      <alignment horizontal="center" vertical="center"/>
    </xf>
    <xf numFmtId="0" fontId="44" fillId="0" borderId="328" xfId="31" applyFont="1" applyFill="1" applyBorder="1" applyAlignment="1" applyProtection="1">
      <alignment horizontal="center"/>
    </xf>
    <xf numFmtId="0" fontId="44" fillId="0" borderId="329" xfId="31" applyFont="1" applyFill="1" applyBorder="1" applyAlignment="1" applyProtection="1">
      <alignment horizontal="center"/>
    </xf>
    <xf numFmtId="49" fontId="11" fillId="0" borderId="327" xfId="0" applyNumberFormat="1" applyFont="1" applyBorder="1" applyAlignment="1">
      <alignment vertical="center" wrapText="1"/>
    </xf>
    <xf numFmtId="0" fontId="0" fillId="0" borderId="316" xfId="0" applyFill="1" applyBorder="1" applyAlignment="1">
      <alignment horizontal="center" vertical="center"/>
    </xf>
    <xf numFmtId="3" fontId="0" fillId="0" borderId="316" xfId="0" applyNumberFormat="1" applyFill="1" applyBorder="1" applyAlignment="1" applyProtection="1">
      <alignment vertical="center"/>
      <protection locked="0"/>
    </xf>
    <xf numFmtId="3" fontId="0" fillId="0" borderId="330" xfId="0" applyNumberFormat="1" applyFill="1" applyBorder="1" applyAlignment="1" applyProtection="1">
      <alignment vertical="center"/>
      <protection locked="0"/>
    </xf>
    <xf numFmtId="3" fontId="0" fillId="0" borderId="0" xfId="0" applyNumberFormat="1" applyFill="1" applyAlignment="1">
      <alignment vertical="center"/>
    </xf>
    <xf numFmtId="0" fontId="0" fillId="0" borderId="0" xfId="0" applyFont="1" applyFill="1" applyAlignment="1">
      <alignment vertical="center"/>
    </xf>
    <xf numFmtId="49" fontId="77" fillId="0" borderId="327" xfId="0" applyNumberFormat="1" applyFont="1" applyFill="1" applyBorder="1" applyAlignment="1" applyProtection="1">
      <alignment vertical="center" wrapText="1"/>
    </xf>
    <xf numFmtId="49" fontId="12" fillId="0" borderId="316" xfId="0" applyNumberFormat="1" applyFont="1" applyFill="1" applyBorder="1" applyAlignment="1" applyProtection="1">
      <alignment horizontal="center" vertical="center"/>
    </xf>
    <xf numFmtId="3" fontId="13" fillId="0" borderId="316" xfId="0" applyNumberFormat="1" applyFont="1" applyFill="1" applyBorder="1" applyAlignment="1" applyProtection="1">
      <alignment vertical="center"/>
      <protection locked="0"/>
    </xf>
    <xf numFmtId="3" fontId="13" fillId="0" borderId="330" xfId="0" applyNumberFormat="1" applyFont="1" applyFill="1" applyBorder="1" applyAlignment="1" applyProtection="1">
      <alignment vertical="center"/>
    </xf>
    <xf numFmtId="1" fontId="74" fillId="0" borderId="316" xfId="0" applyNumberFormat="1" applyFont="1" applyFill="1" applyBorder="1" applyAlignment="1" applyProtection="1">
      <alignment horizontal="center" vertical="center"/>
    </xf>
    <xf numFmtId="170" fontId="41" fillId="0" borderId="327" xfId="0" applyNumberFormat="1" applyFont="1" applyFill="1" applyBorder="1" applyAlignment="1" applyProtection="1">
      <alignment vertical="center" wrapText="1"/>
    </xf>
    <xf numFmtId="49" fontId="41" fillId="0" borderId="316" xfId="0" applyNumberFormat="1" applyFont="1" applyFill="1" applyBorder="1" applyAlignment="1" applyProtection="1">
      <alignment horizontal="center" vertical="center"/>
    </xf>
    <xf numFmtId="3" fontId="17" fillId="0" borderId="316" xfId="0" applyNumberFormat="1" applyFont="1" applyFill="1" applyBorder="1" applyAlignment="1" applyProtection="1">
      <alignment vertical="center"/>
    </xf>
    <xf numFmtId="0" fontId="31" fillId="0" borderId="3" xfId="0" applyFont="1" applyBorder="1" applyAlignment="1" applyProtection="1">
      <alignment horizontal="center" vertical="top" wrapText="1"/>
    </xf>
    <xf numFmtId="3" fontId="31" fillId="0" borderId="335" xfId="0" applyNumberFormat="1" applyFont="1" applyBorder="1" applyAlignment="1" applyProtection="1">
      <alignment horizontal="center" vertical="top" wrapText="1"/>
    </xf>
    <xf numFmtId="3" fontId="27" fillId="0" borderId="302" xfId="0" applyNumberFormat="1" applyFont="1" applyFill="1" applyBorder="1" applyAlignment="1" applyProtection="1">
      <alignment horizontal="right" vertical="top" wrapText="1"/>
    </xf>
    <xf numFmtId="3" fontId="27" fillId="0" borderId="301" xfId="0" applyNumberFormat="1" applyFont="1" applyFill="1" applyBorder="1" applyAlignment="1" applyProtection="1">
      <alignment horizontal="right" vertical="top" wrapText="1"/>
    </xf>
    <xf numFmtId="0" fontId="37" fillId="0" borderId="339" xfId="0" applyFont="1" applyFill="1" applyBorder="1" applyAlignment="1" applyProtection="1">
      <alignment horizontal="center" vertical="center" wrapText="1"/>
    </xf>
    <xf numFmtId="3" fontId="13" fillId="0" borderId="340" xfId="0" applyNumberFormat="1" applyFont="1" applyFill="1" applyBorder="1" applyAlignment="1" applyProtection="1">
      <alignment horizontal="right" vertical="center" wrapText="1"/>
      <protection locked="0"/>
    </xf>
    <xf numFmtId="3" fontId="13" fillId="0" borderId="341" xfId="0" applyNumberFormat="1" applyFont="1" applyFill="1" applyBorder="1" applyAlignment="1" applyProtection="1">
      <alignment horizontal="right" vertical="center" wrapText="1"/>
    </xf>
    <xf numFmtId="0" fontId="39" fillId="0" borderId="339" xfId="0" applyFont="1" applyFill="1" applyBorder="1" applyAlignment="1" applyProtection="1">
      <alignment horizontal="center" vertical="center" wrapText="1"/>
    </xf>
    <xf numFmtId="3" fontId="29" fillId="0" borderId="340" xfId="0" applyNumberFormat="1" applyFont="1" applyFill="1" applyBorder="1" applyAlignment="1" applyProtection="1">
      <alignment horizontal="right" vertical="center" wrapText="1"/>
    </xf>
    <xf numFmtId="3" fontId="29" fillId="0" borderId="341" xfId="0" applyNumberFormat="1" applyFont="1" applyFill="1" applyBorder="1" applyAlignment="1" applyProtection="1">
      <alignment horizontal="right" vertical="center" wrapText="1"/>
    </xf>
    <xf numFmtId="3" fontId="13" fillId="0" borderId="340" xfId="0" applyNumberFormat="1" applyFont="1" applyFill="1" applyBorder="1" applyAlignment="1" applyProtection="1">
      <alignment horizontal="right" vertical="center" wrapText="1"/>
    </xf>
    <xf numFmtId="3" fontId="13" fillId="0" borderId="340" xfId="0" applyNumberFormat="1" applyFont="1" applyFill="1" applyBorder="1" applyAlignment="1" applyProtection="1">
      <alignment vertical="center" wrapText="1"/>
    </xf>
    <xf numFmtId="3" fontId="13" fillId="0" borderId="341" xfId="0" applyNumberFormat="1" applyFont="1" applyFill="1" applyBorder="1" applyAlignment="1" applyProtection="1">
      <alignment vertical="center" wrapText="1"/>
    </xf>
    <xf numFmtId="3" fontId="29" fillId="0" borderId="340" xfId="0" applyNumberFormat="1" applyFont="1" applyFill="1" applyBorder="1" applyAlignment="1" applyProtection="1">
      <alignment horizontal="right" vertical="center" wrapText="1"/>
      <protection locked="0"/>
    </xf>
    <xf numFmtId="3" fontId="29" fillId="0" borderId="341" xfId="0" applyNumberFormat="1" applyFont="1" applyFill="1" applyBorder="1" applyAlignment="1" applyProtection="1">
      <alignment horizontal="right" vertical="center" wrapText="1"/>
      <protection locked="0"/>
    </xf>
    <xf numFmtId="3" fontId="13" fillId="0" borderId="342" xfId="0" applyNumberFormat="1" applyFont="1" applyFill="1" applyBorder="1" applyAlignment="1" applyProtection="1">
      <alignment horizontal="right" vertical="center" wrapText="1"/>
    </xf>
    <xf numFmtId="49" fontId="37" fillId="0" borderId="339" xfId="0" applyNumberFormat="1" applyFont="1" applyFill="1" applyBorder="1" applyAlignment="1" applyProtection="1">
      <alignment horizontal="center" vertical="center" wrapText="1"/>
    </xf>
    <xf numFmtId="0" fontId="37" fillId="0" borderId="345" xfId="0" applyFont="1" applyFill="1" applyBorder="1" applyAlignment="1" applyProtection="1">
      <alignment horizontal="center" vertical="center" wrapText="1"/>
    </xf>
    <xf numFmtId="3" fontId="13" fillId="0" borderId="346" xfId="0" applyNumberFormat="1" applyFont="1" applyFill="1" applyBorder="1" applyAlignment="1" applyProtection="1">
      <alignment horizontal="right" vertical="center" wrapText="1"/>
    </xf>
    <xf numFmtId="3" fontId="13" fillId="0" borderId="347" xfId="0" applyNumberFormat="1" applyFont="1" applyFill="1" applyBorder="1" applyAlignment="1" applyProtection="1">
      <alignment horizontal="right" vertical="center" wrapText="1"/>
    </xf>
    <xf numFmtId="0" fontId="37" fillId="0" borderId="349" xfId="0" applyFont="1" applyFill="1" applyBorder="1" applyAlignment="1" applyProtection="1">
      <alignment horizontal="center" vertical="center" wrapText="1"/>
    </xf>
    <xf numFmtId="3" fontId="13" fillId="0" borderId="302" xfId="0" applyNumberFormat="1" applyFont="1" applyFill="1" applyBorder="1" applyAlignment="1" applyProtection="1">
      <alignment horizontal="right" vertical="center" wrapText="1"/>
    </xf>
    <xf numFmtId="3" fontId="13" fillId="0" borderId="301" xfId="0" applyNumberFormat="1" applyFont="1" applyFill="1" applyBorder="1" applyAlignment="1" applyProtection="1">
      <alignment horizontal="right" vertical="center" wrapText="1"/>
    </xf>
    <xf numFmtId="0" fontId="31" fillId="0" borderId="44" xfId="0" applyFont="1" applyBorder="1" applyAlignment="1" applyProtection="1">
      <alignment horizontal="center" vertical="top" wrapText="1"/>
    </xf>
    <xf numFmtId="0" fontId="20" fillId="0" borderId="18" xfId="0" applyFont="1" applyFill="1" applyBorder="1" applyAlignment="1" applyProtection="1">
      <alignment vertical="top" wrapText="1"/>
    </xf>
    <xf numFmtId="0" fontId="26" fillId="0" borderId="339" xfId="0" applyFont="1" applyFill="1" applyBorder="1" applyAlignment="1">
      <alignment vertical="top" wrapText="1"/>
    </xf>
    <xf numFmtId="0" fontId="20" fillId="0" borderId="339" xfId="0" applyFont="1" applyFill="1" applyBorder="1" applyAlignment="1" applyProtection="1">
      <alignment vertical="top" wrapText="1"/>
    </xf>
    <xf numFmtId="0" fontId="20" fillId="0" borderId="339" xfId="0" applyFont="1" applyFill="1" applyBorder="1" applyAlignment="1" applyProtection="1">
      <alignment vertical="center" wrapText="1"/>
    </xf>
    <xf numFmtId="0" fontId="38" fillId="0" borderId="339" xfId="0" applyFont="1" applyFill="1" applyBorder="1" applyAlignment="1" applyProtection="1">
      <alignment vertical="top" wrapText="1"/>
    </xf>
    <xf numFmtId="0" fontId="42" fillId="0" borderId="339" xfId="0" applyFont="1" applyFill="1" applyBorder="1" applyAlignment="1" applyProtection="1">
      <alignment vertical="top" wrapText="1"/>
    </xf>
    <xf numFmtId="0" fontId="38" fillId="0" borderId="345" xfId="0" applyFont="1" applyFill="1" applyBorder="1" applyAlignment="1" applyProtection="1">
      <alignment vertical="top" wrapText="1"/>
    </xf>
    <xf numFmtId="0" fontId="38" fillId="0" borderId="349" xfId="0" applyFont="1" applyFill="1" applyBorder="1" applyAlignment="1" applyProtection="1">
      <alignment vertical="top" wrapText="1"/>
    </xf>
    <xf numFmtId="0" fontId="31" fillId="0" borderId="350" xfId="0" applyFont="1" applyBorder="1" applyAlignment="1" applyProtection="1">
      <alignment horizontal="center" vertical="top" wrapText="1"/>
    </xf>
    <xf numFmtId="0" fontId="31" fillId="0" borderId="351" xfId="0" applyFont="1" applyFill="1" applyBorder="1" applyAlignment="1" applyProtection="1">
      <alignment horizontal="center" vertical="top" wrapText="1"/>
    </xf>
    <xf numFmtId="0" fontId="12" fillId="0" borderId="352" xfId="0" applyFont="1" applyFill="1" applyBorder="1" applyAlignment="1" applyProtection="1">
      <alignment horizontal="center" vertical="center" wrapText="1"/>
    </xf>
    <xf numFmtId="0" fontId="38" fillId="0" borderId="352" xfId="0" applyFont="1" applyFill="1" applyBorder="1" applyAlignment="1" applyProtection="1">
      <alignment horizontal="center" vertical="top" wrapText="1"/>
    </xf>
    <xf numFmtId="0" fontId="31" fillId="0" borderId="352" xfId="0" applyFont="1" applyFill="1" applyBorder="1" applyAlignment="1" applyProtection="1">
      <alignment horizontal="center" vertical="top" wrapText="1"/>
    </xf>
    <xf numFmtId="0" fontId="38" fillId="0" borderId="352" xfId="0" applyFont="1" applyFill="1" applyBorder="1" applyAlignment="1" applyProtection="1">
      <alignment horizontal="center" vertical="center" wrapText="1"/>
    </xf>
    <xf numFmtId="0" fontId="31" fillId="0" borderId="352" xfId="0" applyFont="1" applyFill="1" applyBorder="1" applyAlignment="1" applyProtection="1">
      <alignment vertical="center" wrapText="1"/>
    </xf>
    <xf numFmtId="0" fontId="31" fillId="0" borderId="352" xfId="0" applyFont="1" applyFill="1" applyBorder="1" applyAlignment="1" applyProtection="1">
      <alignment horizontal="center" vertical="center" wrapText="1"/>
    </xf>
    <xf numFmtId="0" fontId="41" fillId="0" borderId="352" xfId="0" applyFont="1" applyFill="1" applyBorder="1" applyAlignment="1" applyProtection="1">
      <alignment horizontal="center" vertical="center" wrapText="1"/>
    </xf>
    <xf numFmtId="0" fontId="38" fillId="0" borderId="348" xfId="0" applyFont="1" applyFill="1" applyBorder="1" applyAlignment="1" applyProtection="1">
      <alignment horizontal="center" vertical="center" wrapText="1"/>
    </xf>
    <xf numFmtId="0" fontId="38" fillId="0" borderId="353" xfId="0" applyFont="1" applyFill="1" applyBorder="1" applyAlignment="1" applyProtection="1">
      <alignment horizontal="center" vertical="center" wrapText="1"/>
    </xf>
    <xf numFmtId="0" fontId="41" fillId="0" borderId="290" xfId="0" applyFont="1" applyFill="1" applyBorder="1" applyAlignment="1" applyProtection="1">
      <alignment vertical="center" wrapText="1"/>
    </xf>
    <xf numFmtId="49" fontId="0" fillId="0" borderId="299" xfId="0" applyNumberFormat="1" applyFont="1" applyFill="1" applyBorder="1" applyAlignment="1" applyProtection="1">
      <alignment horizontal="center" vertical="center"/>
    </xf>
    <xf numFmtId="3" fontId="27" fillId="0" borderId="299" xfId="0" applyNumberFormat="1" applyFont="1" applyFill="1" applyBorder="1" applyAlignment="1" applyProtection="1">
      <alignment horizontal="right" vertical="center"/>
    </xf>
    <xf numFmtId="3" fontId="27" fillId="0" borderId="299" xfId="0" applyNumberFormat="1" applyFont="1" applyFill="1" applyBorder="1" applyAlignment="1" applyProtection="1">
      <alignment vertical="center"/>
    </xf>
    <xf numFmtId="3" fontId="27" fillId="0" borderId="299" xfId="0" applyNumberFormat="1" applyFont="1" applyFill="1" applyBorder="1" applyAlignment="1" applyProtection="1">
      <alignment horizontal="right" vertical="center"/>
      <protection locked="0"/>
    </xf>
    <xf numFmtId="3" fontId="27" fillId="0" borderId="299" xfId="0" applyNumberFormat="1" applyFont="1" applyFill="1" applyBorder="1" applyAlignment="1" applyProtection="1">
      <alignment vertical="center"/>
      <protection locked="0"/>
    </xf>
    <xf numFmtId="3" fontId="27" fillId="0" borderId="291" xfId="0" applyNumberFormat="1" applyFont="1" applyFill="1" applyBorder="1" applyAlignment="1" applyProtection="1">
      <alignment vertical="center"/>
    </xf>
    <xf numFmtId="0" fontId="41" fillId="0" borderId="354" xfId="0" applyFont="1" applyFill="1" applyBorder="1" applyAlignment="1" applyProtection="1">
      <alignment vertical="center" wrapText="1"/>
    </xf>
    <xf numFmtId="0" fontId="0" fillId="0" borderId="355" xfId="0" applyFill="1" applyBorder="1" applyAlignment="1" applyProtection="1">
      <alignment horizontal="center" vertical="center"/>
    </xf>
    <xf numFmtId="3" fontId="27" fillId="0" borderId="355" xfId="0" applyNumberFormat="1" applyFont="1" applyFill="1" applyBorder="1" applyAlignment="1" applyProtection="1">
      <alignment horizontal="right" vertical="center"/>
    </xf>
    <xf numFmtId="3" fontId="27" fillId="0" borderId="355" xfId="0" applyNumberFormat="1" applyFont="1" applyFill="1" applyBorder="1" applyAlignment="1" applyProtection="1">
      <alignment vertical="center"/>
    </xf>
    <xf numFmtId="3" fontId="27" fillId="0" borderId="355" xfId="0" applyNumberFormat="1" applyFont="1" applyFill="1" applyBorder="1" applyAlignment="1" applyProtection="1">
      <alignment vertical="center"/>
      <protection locked="0"/>
    </xf>
    <xf numFmtId="3" fontId="27" fillId="0" borderId="356" xfId="0" applyNumberFormat="1" applyFont="1" applyFill="1" applyBorder="1" applyAlignment="1" applyProtection="1">
      <alignment vertical="center"/>
    </xf>
    <xf numFmtId="3" fontId="16" fillId="0" borderId="357" xfId="52" applyNumberFormat="1" applyFont="1" applyBorder="1" applyAlignment="1" applyProtection="1">
      <alignment horizontal="right" vertical="center"/>
    </xf>
    <xf numFmtId="3" fontId="26" fillId="0" borderId="337" xfId="53" applyNumberFormat="1" applyFont="1" applyBorder="1" applyAlignment="1" applyProtection="1">
      <alignment wrapText="1"/>
    </xf>
    <xf numFmtId="49" fontId="32" fillId="0" borderId="338" xfId="53" applyNumberFormat="1" applyFont="1" applyBorder="1" applyAlignment="1" applyProtection="1">
      <alignment horizontal="center" vertical="center"/>
    </xf>
    <xf numFmtId="3" fontId="27" fillId="0" borderId="340" xfId="52" applyNumberFormat="1" applyFont="1" applyBorder="1" applyAlignment="1" applyProtection="1">
      <alignment horizontal="right" vertical="center"/>
    </xf>
    <xf numFmtId="3" fontId="27" fillId="0" borderId="358" xfId="52" applyNumberFormat="1" applyFont="1" applyBorder="1" applyAlignment="1" applyProtection="1">
      <alignment horizontal="right" vertical="center"/>
    </xf>
    <xf numFmtId="3" fontId="27" fillId="0" borderId="341" xfId="52" applyNumberFormat="1" applyFont="1" applyBorder="1" applyAlignment="1" applyProtection="1">
      <alignment horizontal="right" vertical="center"/>
    </xf>
    <xf numFmtId="3" fontId="27" fillId="0" borderId="337" xfId="53" applyNumberFormat="1" applyFont="1" applyBorder="1" applyAlignment="1" applyProtection="1">
      <alignment wrapText="1"/>
    </xf>
    <xf numFmtId="49" fontId="27" fillId="0" borderId="338" xfId="53" applyNumberFormat="1" applyFont="1" applyBorder="1" applyAlignment="1" applyProtection="1">
      <alignment horizontal="center" vertical="center"/>
    </xf>
    <xf numFmtId="3" fontId="27" fillId="0" borderId="340" xfId="52" applyNumberFormat="1" applyFont="1" applyFill="1" applyBorder="1" applyAlignment="1" applyProtection="1">
      <alignment horizontal="right" vertical="center"/>
    </xf>
    <xf numFmtId="3" fontId="27" fillId="0" borderId="358" xfId="52" applyNumberFormat="1" applyFont="1" applyFill="1" applyBorder="1" applyAlignment="1" applyProtection="1">
      <alignment horizontal="right" vertical="center"/>
    </xf>
    <xf numFmtId="3" fontId="27" fillId="0" borderId="341" xfId="52" applyNumberFormat="1" applyFont="1" applyFill="1" applyBorder="1" applyAlignment="1" applyProtection="1">
      <alignment horizontal="right" vertical="center"/>
    </xf>
    <xf numFmtId="49" fontId="26" fillId="0" borderId="338" xfId="53" applyNumberFormat="1" applyFont="1" applyBorder="1" applyAlignment="1" applyProtection="1">
      <alignment horizontal="center" vertical="center"/>
    </xf>
    <xf numFmtId="3" fontId="16" fillId="0" borderId="340" xfId="52" applyNumberFormat="1" applyFont="1" applyBorder="1" applyAlignment="1" applyProtection="1">
      <alignment horizontal="right" vertical="center"/>
    </xf>
    <xf numFmtId="3" fontId="16" fillId="0" borderId="358" xfId="52" applyNumberFormat="1" applyFont="1" applyBorder="1" applyAlignment="1" applyProtection="1">
      <alignment horizontal="right" vertical="center"/>
    </xf>
    <xf numFmtId="3" fontId="16" fillId="0" borderId="341" xfId="52" applyNumberFormat="1" applyFont="1" applyBorder="1" applyAlignment="1" applyProtection="1">
      <alignment horizontal="right" vertical="center"/>
    </xf>
    <xf numFmtId="49" fontId="32" fillId="0" borderId="338" xfId="53" applyNumberFormat="1" applyFont="1" applyBorder="1" applyAlignment="1" applyProtection="1">
      <alignment horizontal="center" vertical="center" wrapText="1"/>
    </xf>
    <xf numFmtId="3" fontId="27" fillId="0" borderId="340" xfId="52" applyNumberFormat="1" applyFont="1" applyBorder="1" applyAlignment="1" applyProtection="1">
      <alignment horizontal="right" vertical="center"/>
      <protection locked="0"/>
    </xf>
    <xf numFmtId="3" fontId="27" fillId="0" borderId="358" xfId="52" applyNumberFormat="1" applyFont="1" applyBorder="1" applyAlignment="1" applyProtection="1">
      <alignment horizontal="right" vertical="center"/>
      <protection locked="0"/>
    </xf>
    <xf numFmtId="3" fontId="27" fillId="0" borderId="341" xfId="53" applyNumberFormat="1" applyFont="1" applyBorder="1" applyProtection="1"/>
    <xf numFmtId="3" fontId="12" fillId="0" borderId="341" xfId="53" applyNumberFormat="1" applyFont="1" applyBorder="1" applyProtection="1"/>
    <xf numFmtId="3" fontId="26" fillId="0" borderId="337" xfId="53" applyNumberFormat="1" applyFont="1" applyBorder="1" applyAlignment="1" applyProtection="1">
      <alignment vertical="top" wrapText="1"/>
    </xf>
    <xf numFmtId="49" fontId="16" fillId="0" borderId="338" xfId="53" applyNumberFormat="1" applyFont="1" applyBorder="1" applyAlignment="1" applyProtection="1">
      <alignment horizontal="center" vertical="center"/>
    </xf>
    <xf numFmtId="0" fontId="26" fillId="0" borderId="337" xfId="53" applyNumberFormat="1" applyFont="1" applyBorder="1" applyAlignment="1" applyProtection="1">
      <alignment wrapText="1"/>
    </xf>
    <xf numFmtId="3" fontId="12" fillId="0" borderId="341" xfId="53" applyNumberFormat="1" applyFont="1" applyBorder="1" applyProtection="1">
      <protection locked="0"/>
    </xf>
    <xf numFmtId="3" fontId="27" fillId="0" borderId="337" xfId="53" applyNumberFormat="1" applyFont="1" applyBorder="1" applyAlignment="1" applyProtection="1">
      <alignment vertical="top" wrapText="1"/>
    </xf>
    <xf numFmtId="3" fontId="27" fillId="0" borderId="359" xfId="53" applyNumberFormat="1" applyFont="1" applyBorder="1" applyAlignment="1" applyProtection="1">
      <alignment vertical="top" wrapText="1"/>
    </xf>
    <xf numFmtId="49" fontId="27" fillId="0" borderId="360" xfId="53" applyNumberFormat="1" applyFont="1" applyBorder="1" applyAlignment="1" applyProtection="1">
      <alignment horizontal="center" vertical="center"/>
    </xf>
    <xf numFmtId="3" fontId="27" fillId="0" borderId="361" xfId="52" applyNumberFormat="1" applyFont="1" applyBorder="1" applyAlignment="1" applyProtection="1">
      <alignment horizontal="right" vertical="center"/>
      <protection locked="0"/>
    </xf>
    <xf numFmtId="3" fontId="27" fillId="0" borderId="362" xfId="52" applyNumberFormat="1" applyFont="1" applyBorder="1" applyAlignment="1" applyProtection="1">
      <alignment horizontal="right" vertical="center"/>
      <protection locked="0"/>
    </xf>
    <xf numFmtId="3" fontId="12" fillId="0" borderId="363" xfId="53" applyNumberFormat="1" applyFont="1" applyBorder="1" applyProtection="1">
      <protection locked="0"/>
    </xf>
    <xf numFmtId="3" fontId="26" fillId="0" borderId="336" xfId="53" applyNumberFormat="1" applyFont="1" applyBorder="1" applyAlignment="1" applyProtection="1">
      <alignment vertical="top" wrapText="1"/>
    </xf>
    <xf numFmtId="49" fontId="27" fillId="0" borderId="338" xfId="53" applyNumberFormat="1" applyFont="1" applyBorder="1" applyAlignment="1" applyProtection="1">
      <alignment horizontal="center" vertical="center" wrapText="1"/>
    </xf>
    <xf numFmtId="3" fontId="27" fillId="0" borderId="359" xfId="53" applyNumberFormat="1" applyFont="1" applyBorder="1" applyAlignment="1" applyProtection="1">
      <alignment wrapText="1"/>
    </xf>
    <xf numFmtId="3" fontId="27" fillId="0" borderId="336" xfId="53" applyNumberFormat="1" applyFont="1" applyBorder="1" applyAlignment="1" applyProtection="1">
      <alignment wrapText="1"/>
    </xf>
    <xf numFmtId="3" fontId="12" fillId="0" borderId="357" xfId="53" applyNumberFormat="1" applyFont="1" applyBorder="1" applyProtection="1">
      <protection locked="0"/>
    </xf>
    <xf numFmtId="3" fontId="26" fillId="0" borderId="337" xfId="53" applyNumberFormat="1" applyFont="1" applyFill="1" applyBorder="1" applyAlignment="1" applyProtection="1">
      <alignment wrapText="1"/>
    </xf>
    <xf numFmtId="3" fontId="27" fillId="0" borderId="343" xfId="53" applyNumberFormat="1" applyFont="1" applyBorder="1" applyAlignment="1" applyProtection="1">
      <alignment wrapText="1"/>
    </xf>
    <xf numFmtId="49" fontId="27" fillId="0" borderId="344" xfId="53" applyNumberFormat="1" applyFont="1" applyBorder="1" applyAlignment="1" applyProtection="1">
      <alignment horizontal="center" vertical="center"/>
    </xf>
    <xf numFmtId="3" fontId="27" fillId="0" borderId="346" xfId="52" applyNumberFormat="1" applyFont="1" applyBorder="1" applyAlignment="1" applyProtection="1">
      <alignment horizontal="right" vertical="center"/>
      <protection locked="0"/>
    </xf>
    <xf numFmtId="3" fontId="27" fillId="0" borderId="355" xfId="52" applyNumberFormat="1" applyFont="1" applyBorder="1" applyAlignment="1" applyProtection="1">
      <alignment horizontal="right" vertical="center"/>
      <protection locked="0"/>
    </xf>
    <xf numFmtId="3" fontId="12" fillId="0" borderId="347" xfId="53" applyNumberFormat="1" applyFont="1" applyBorder="1" applyProtection="1">
      <protection locked="0"/>
    </xf>
    <xf numFmtId="1" fontId="74" fillId="0" borderId="332" xfId="0" applyNumberFormat="1" applyFont="1" applyFill="1" applyBorder="1" applyAlignment="1" applyProtection="1">
      <alignment vertical="center" wrapText="1"/>
    </xf>
    <xf numFmtId="0" fontId="60" fillId="0" borderId="366" xfId="0" applyFont="1" applyFill="1" applyBorder="1" applyAlignment="1" applyProtection="1">
      <alignment horizontal="center" vertical="center" wrapText="1"/>
    </xf>
    <xf numFmtId="2" fontId="11" fillId="0" borderId="367" xfId="0" applyNumberFormat="1" applyFont="1" applyBorder="1" applyAlignment="1" applyProtection="1">
      <alignment horizontal="center" vertical="center" wrapText="1"/>
    </xf>
    <xf numFmtId="0" fontId="11" fillId="0" borderId="367" xfId="0" applyFont="1" applyBorder="1" applyAlignment="1" applyProtection="1">
      <alignment horizontal="center" vertical="center" wrapText="1"/>
    </xf>
    <xf numFmtId="0" fontId="60" fillId="0" borderId="365" xfId="0" applyFont="1" applyFill="1" applyBorder="1" applyAlignment="1" applyProtection="1">
      <alignment horizontal="center" vertical="center" wrapText="1"/>
    </xf>
    <xf numFmtId="0" fontId="16" fillId="0" borderId="325" xfId="0" applyFont="1" applyFill="1" applyBorder="1" applyAlignment="1" applyProtection="1">
      <alignment vertical="center"/>
    </xf>
    <xf numFmtId="3" fontId="17" fillId="0" borderId="298" xfId="0" applyNumberFormat="1" applyFont="1" applyBorder="1" applyAlignment="1" applyProtection="1">
      <alignment vertical="center"/>
    </xf>
    <xf numFmtId="3" fontId="17" fillId="0" borderId="297" xfId="0" applyNumberFormat="1" applyFont="1" applyBorder="1" applyAlignment="1" applyProtection="1">
      <alignment vertical="center"/>
      <protection locked="0"/>
    </xf>
    <xf numFmtId="3" fontId="17" fillId="0" borderId="298" xfId="0" applyNumberFormat="1" applyFont="1" applyBorder="1" applyAlignment="1" applyProtection="1">
      <alignment vertical="center"/>
      <protection locked="0"/>
    </xf>
    <xf numFmtId="0" fontId="16" fillId="0" borderId="368" xfId="0" applyFont="1" applyFill="1" applyBorder="1" applyAlignment="1" applyProtection="1">
      <alignment vertical="center"/>
    </xf>
    <xf numFmtId="3" fontId="17" fillId="0" borderId="317" xfId="0" applyNumberFormat="1" applyFont="1" applyBorder="1" applyAlignment="1" applyProtection="1">
      <alignment vertical="center"/>
    </xf>
    <xf numFmtId="3" fontId="17" fillId="0" borderId="369" xfId="0" applyNumberFormat="1" applyFont="1" applyBorder="1" applyAlignment="1" applyProtection="1">
      <alignment vertical="center"/>
    </xf>
    <xf numFmtId="3" fontId="17" fillId="0" borderId="331" xfId="0" applyNumberFormat="1" applyFont="1" applyBorder="1" applyAlignment="1" applyProtection="1">
      <alignment vertical="center"/>
    </xf>
    <xf numFmtId="0" fontId="32" fillId="0" borderId="368" xfId="0" applyFont="1" applyFill="1" applyBorder="1" applyAlignment="1" applyProtection="1">
      <alignment vertical="center"/>
    </xf>
    <xf numFmtId="3" fontId="59" fillId="0" borderId="317" xfId="0" applyNumberFormat="1" applyFont="1" applyBorder="1" applyAlignment="1" applyProtection="1">
      <alignment vertical="center"/>
    </xf>
    <xf numFmtId="3" fontId="59" fillId="0" borderId="369" xfId="0" applyNumberFormat="1" applyFont="1" applyBorder="1" applyAlignment="1" applyProtection="1">
      <alignment vertical="center"/>
      <protection locked="0"/>
    </xf>
    <xf numFmtId="3" fontId="59" fillId="0" borderId="331" xfId="0" applyNumberFormat="1" applyFont="1" applyBorder="1" applyAlignment="1" applyProtection="1">
      <alignment vertical="center"/>
    </xf>
    <xf numFmtId="3" fontId="59" fillId="0" borderId="331" xfId="0" applyNumberFormat="1" applyFont="1" applyBorder="1" applyAlignment="1" applyProtection="1">
      <alignment vertical="center"/>
      <protection locked="0"/>
    </xf>
    <xf numFmtId="3" fontId="59" fillId="0" borderId="317" xfId="0" applyNumberFormat="1" applyFont="1" applyBorder="1" applyAlignment="1" applyProtection="1">
      <alignment vertical="center"/>
      <protection locked="0"/>
    </xf>
    <xf numFmtId="0" fontId="32" fillId="0" borderId="368" xfId="0" applyFont="1" applyFill="1" applyBorder="1" applyAlignment="1" applyProtection="1">
      <alignment vertical="center" wrapText="1"/>
    </xf>
    <xf numFmtId="3" fontId="59" fillId="0" borderId="369" xfId="0" applyNumberFormat="1" applyFont="1" applyBorder="1" applyAlignment="1" applyProtection="1">
      <alignment vertical="center"/>
    </xf>
    <xf numFmtId="0" fontId="16" fillId="0" borderId="368" xfId="0" applyFont="1" applyFill="1" applyBorder="1" applyAlignment="1" applyProtection="1">
      <alignment vertical="center" wrapText="1"/>
    </xf>
    <xf numFmtId="0" fontId="32" fillId="0" borderId="368" xfId="0" applyFont="1" applyFill="1" applyBorder="1" applyAlignment="1" applyProtection="1">
      <alignment wrapText="1"/>
    </xf>
    <xf numFmtId="0" fontId="32" fillId="0" borderId="364" xfId="0" applyFont="1" applyFill="1" applyBorder="1" applyAlignment="1" applyProtection="1">
      <alignment wrapText="1"/>
    </xf>
    <xf numFmtId="3" fontId="59" fillId="0" borderId="365" xfId="0" applyNumberFormat="1" applyFont="1" applyBorder="1" applyAlignment="1" applyProtection="1">
      <alignment vertical="center"/>
    </xf>
    <xf numFmtId="3" fontId="59" fillId="0" borderId="366" xfId="0" applyNumberFormat="1" applyFont="1" applyBorder="1" applyAlignment="1" applyProtection="1">
      <alignment vertical="center"/>
      <protection locked="0"/>
    </xf>
    <xf numFmtId="3" fontId="59" fillId="0" borderId="367" xfId="0" applyNumberFormat="1" applyFont="1" applyBorder="1" applyAlignment="1" applyProtection="1">
      <alignment vertical="center"/>
      <protection locked="0"/>
    </xf>
    <xf numFmtId="3" fontId="59" fillId="0" borderId="365" xfId="0" applyNumberFormat="1" applyFont="1" applyBorder="1" applyAlignment="1" applyProtection="1">
      <alignment vertical="center"/>
      <protection locked="0"/>
    </xf>
    <xf numFmtId="3" fontId="79" fillId="0" borderId="297" xfId="25" applyNumberFormat="1" applyFont="1" applyFill="1" applyBorder="1" applyAlignment="1">
      <alignment vertical="center"/>
    </xf>
    <xf numFmtId="3" fontId="16" fillId="0" borderId="297" xfId="25" applyNumberFormat="1" applyFont="1" applyFill="1" applyBorder="1" applyAlignment="1" applyProtection="1">
      <alignment horizontal="right" vertical="center" wrapText="1"/>
      <protection locked="0"/>
    </xf>
    <xf numFmtId="3" fontId="16" fillId="0" borderId="297" xfId="25" applyNumberFormat="1" applyFont="1" applyFill="1" applyBorder="1" applyAlignment="1" applyProtection="1">
      <alignment horizontal="right" vertical="center"/>
      <protection locked="0"/>
    </xf>
    <xf numFmtId="3" fontId="16" fillId="0" borderId="298" xfId="25" applyNumberFormat="1" applyFont="1" applyFill="1" applyBorder="1" applyAlignment="1" applyProtection="1">
      <alignment horizontal="right" vertical="center"/>
    </xf>
    <xf numFmtId="3" fontId="74" fillId="0" borderId="297" xfId="25" applyNumberFormat="1" applyFont="1" applyFill="1" applyBorder="1" applyAlignment="1">
      <alignment vertical="center"/>
    </xf>
    <xf numFmtId="3" fontId="27" fillId="0" borderId="298" xfId="25" applyNumberFormat="1" applyFont="1" applyFill="1" applyBorder="1" applyAlignment="1" applyProtection="1">
      <alignment horizontal="right" vertical="center"/>
    </xf>
    <xf numFmtId="3" fontId="27" fillId="0" borderId="297" xfId="25" applyNumberFormat="1" applyFont="1" applyFill="1" applyBorder="1" applyAlignment="1" applyProtection="1">
      <alignment horizontal="right" vertical="center" wrapText="1"/>
    </xf>
    <xf numFmtId="3" fontId="27" fillId="0" borderId="297" xfId="25" applyNumberFormat="1" applyFont="1" applyFill="1" applyBorder="1" applyAlignment="1" applyProtection="1">
      <alignment horizontal="right" vertical="center" wrapText="1"/>
      <protection locked="0"/>
    </xf>
    <xf numFmtId="3" fontId="27" fillId="0" borderId="297" xfId="25" applyNumberFormat="1" applyFont="1" applyFill="1" applyBorder="1" applyAlignment="1" applyProtection="1">
      <alignment horizontal="right" vertical="center"/>
      <protection locked="0"/>
    </xf>
    <xf numFmtId="3" fontId="23" fillId="0" borderId="297" xfId="0" applyNumberFormat="1" applyFont="1" applyFill="1" applyBorder="1" applyAlignment="1" applyProtection="1">
      <alignment vertical="center"/>
    </xf>
    <xf numFmtId="3" fontId="26" fillId="0" borderId="297" xfId="0" applyNumberFormat="1" applyFont="1" applyFill="1" applyBorder="1" applyAlignment="1" applyProtection="1">
      <alignment horizontal="right" vertical="center"/>
    </xf>
    <xf numFmtId="3" fontId="26" fillId="0" borderId="298" xfId="0" applyNumberFormat="1" applyFont="1" applyFill="1" applyBorder="1" applyAlignment="1" applyProtection="1">
      <alignment horizontal="right" vertical="center"/>
    </xf>
    <xf numFmtId="3" fontId="44" fillId="0" borderId="297" xfId="0" applyNumberFormat="1" applyFont="1" applyFill="1" applyBorder="1" applyAlignment="1">
      <alignment vertical="center"/>
    </xf>
    <xf numFmtId="3" fontId="27" fillId="0" borderId="297" xfId="0" applyNumberFormat="1" applyFont="1" applyFill="1" applyBorder="1" applyAlignment="1" applyProtection="1">
      <alignment horizontal="right" vertical="center"/>
      <protection locked="0"/>
    </xf>
    <xf numFmtId="3" fontId="27" fillId="0" borderId="297" xfId="0" applyNumberFormat="1" applyFont="1" applyFill="1" applyBorder="1" applyAlignment="1" applyProtection="1">
      <alignment horizontal="right" vertical="center" wrapText="1"/>
      <protection locked="0"/>
    </xf>
    <xf numFmtId="3" fontId="27" fillId="0" borderId="297" xfId="0" applyNumberFormat="1" applyFont="1" applyFill="1" applyBorder="1" applyAlignment="1" applyProtection="1">
      <alignment horizontal="right" vertical="center" wrapText="1"/>
    </xf>
    <xf numFmtId="3" fontId="27" fillId="0" borderId="297" xfId="0" applyNumberFormat="1" applyFont="1" applyFill="1" applyBorder="1" applyAlignment="1" applyProtection="1">
      <alignment horizontal="right" vertical="center"/>
    </xf>
    <xf numFmtId="3" fontId="27" fillId="0" borderId="298" xfId="0" applyNumberFormat="1" applyFont="1" applyFill="1" applyBorder="1" applyAlignment="1" applyProtection="1">
      <alignment horizontal="right" vertical="center"/>
      <protection locked="0"/>
    </xf>
    <xf numFmtId="3" fontId="79" fillId="0" borderId="297" xfId="0" applyNumberFormat="1" applyFont="1" applyFill="1" applyBorder="1" applyAlignment="1" applyProtection="1">
      <alignment vertical="center" wrapText="1"/>
    </xf>
    <xf numFmtId="3" fontId="16" fillId="0" borderId="297" xfId="0" applyNumberFormat="1" applyFont="1" applyFill="1" applyBorder="1" applyAlignment="1" applyProtection="1">
      <alignment horizontal="right" vertical="center"/>
    </xf>
    <xf numFmtId="3" fontId="16" fillId="0" borderId="297" xfId="0" applyNumberFormat="1" applyFont="1" applyFill="1" applyBorder="1" applyAlignment="1" applyProtection="1">
      <alignment horizontal="right" vertical="center" wrapText="1"/>
    </xf>
    <xf numFmtId="3" fontId="16" fillId="0" borderId="298" xfId="0" applyNumberFormat="1" applyFont="1" applyFill="1" applyBorder="1" applyAlignment="1" applyProtection="1">
      <alignment horizontal="right" vertical="center"/>
    </xf>
    <xf numFmtId="3" fontId="48" fillId="0" borderId="297" xfId="0" applyNumberFormat="1" applyFont="1" applyFill="1" applyBorder="1" applyAlignment="1">
      <alignment vertical="center"/>
    </xf>
    <xf numFmtId="3" fontId="134" fillId="0" borderId="297" xfId="0" applyNumberFormat="1" applyFont="1" applyFill="1" applyBorder="1" applyAlignment="1">
      <alignment vertical="center"/>
    </xf>
    <xf numFmtId="3" fontId="26" fillId="0" borderId="297" xfId="0" applyNumberFormat="1" applyFont="1" applyFill="1" applyBorder="1" applyAlignment="1" applyProtection="1">
      <alignment horizontal="right" vertical="center" wrapText="1"/>
    </xf>
    <xf numFmtId="40" fontId="12" fillId="0" borderId="230" xfId="0" applyNumberFormat="1" applyFont="1" applyFill="1" applyBorder="1" applyAlignment="1">
      <alignment vertical="center" wrapText="1"/>
    </xf>
    <xf numFmtId="2" fontId="29" fillId="28" borderId="0" xfId="0" applyNumberFormat="1" applyFont="1" applyFill="1" applyBorder="1" applyAlignment="1" applyProtection="1">
      <alignment horizontal="left"/>
      <protection locked="0"/>
    </xf>
    <xf numFmtId="0" fontId="11" fillId="28" borderId="0" xfId="0" applyFont="1" applyFill="1" applyProtection="1">
      <protection locked="0"/>
    </xf>
    <xf numFmtId="0" fontId="11" fillId="29" borderId="0" xfId="0" applyFont="1" applyFill="1" applyProtection="1">
      <protection locked="0"/>
    </xf>
    <xf numFmtId="0" fontId="31" fillId="28" borderId="0" xfId="0" applyFont="1" applyFill="1" applyBorder="1" applyAlignment="1" applyProtection="1">
      <alignment horizontal="center"/>
      <protection locked="0"/>
    </xf>
    <xf numFmtId="0" fontId="59" fillId="28" borderId="0" xfId="0" applyFont="1" applyFill="1" applyProtection="1">
      <protection locked="0"/>
    </xf>
    <xf numFmtId="0" fontId="59" fillId="29" borderId="0" xfId="0" applyFont="1" applyFill="1" applyProtection="1">
      <protection locked="0"/>
    </xf>
    <xf numFmtId="3" fontId="59" fillId="29" borderId="0" xfId="0" applyNumberFormat="1" applyFont="1" applyFill="1" applyProtection="1">
      <protection locked="0"/>
    </xf>
    <xf numFmtId="0" fontId="59" fillId="28" borderId="0" xfId="0" applyFont="1" applyFill="1" applyAlignment="1" applyProtection="1">
      <alignment horizontal="center"/>
      <protection locked="0"/>
    </xf>
    <xf numFmtId="0" fontId="41" fillId="28" borderId="29" xfId="41" applyFont="1" applyFill="1" applyBorder="1" applyAlignment="1" applyProtection="1">
      <alignment horizontal="center" vertical="center" wrapText="1"/>
      <protection locked="0"/>
    </xf>
    <xf numFmtId="0" fontId="41" fillId="28" borderId="29" xfId="0" applyFont="1" applyFill="1" applyBorder="1" applyAlignment="1" applyProtection="1">
      <alignment horizontal="center" vertical="center" wrapText="1"/>
      <protection locked="0"/>
    </xf>
    <xf numFmtId="0" fontId="41" fillId="28" borderId="296" xfId="41" applyFont="1" applyFill="1" applyBorder="1" applyAlignment="1" applyProtection="1">
      <alignment horizontal="center" vertical="center" wrapText="1"/>
      <protection locked="0"/>
    </xf>
    <xf numFmtId="0" fontId="41" fillId="28" borderId="296" xfId="0" applyFont="1" applyFill="1" applyBorder="1" applyAlignment="1" applyProtection="1">
      <alignment horizontal="center" vertical="center" wrapText="1"/>
      <protection locked="0"/>
    </xf>
    <xf numFmtId="0" fontId="41" fillId="29" borderId="296" xfId="0" applyFont="1" applyFill="1" applyBorder="1" applyAlignment="1" applyProtection="1">
      <alignment horizontal="center" vertical="center" wrapText="1"/>
      <protection locked="0"/>
    </xf>
    <xf numFmtId="2" fontId="123" fillId="28" borderId="296" xfId="44" applyNumberFormat="1" applyFont="1" applyFill="1" applyBorder="1" applyAlignment="1" applyProtection="1">
      <alignment horizontal="left" wrapText="1"/>
      <protection locked="0"/>
    </xf>
    <xf numFmtId="3" fontId="41" fillId="28" borderId="296" xfId="44" applyNumberFormat="1" applyFont="1" applyFill="1" applyBorder="1" applyAlignment="1" applyProtection="1">
      <alignment wrapText="1"/>
    </xf>
    <xf numFmtId="4" fontId="11" fillId="28" borderId="0" xfId="0" applyNumberFormat="1" applyFont="1" applyFill="1" applyProtection="1">
      <protection locked="0"/>
    </xf>
    <xf numFmtId="3" fontId="11" fillId="28" borderId="0" xfId="0" applyNumberFormat="1" applyFont="1" applyFill="1" applyProtection="1">
      <protection locked="0"/>
    </xf>
    <xf numFmtId="2" fontId="41" fillId="28" borderId="296" xfId="44" applyNumberFormat="1" applyFont="1" applyFill="1" applyBorder="1" applyAlignment="1" applyProtection="1">
      <alignment horizontal="left" wrapText="1"/>
      <protection locked="0"/>
    </xf>
    <xf numFmtId="3" fontId="41" fillId="28" borderId="296" xfId="0" applyNumberFormat="1" applyFont="1" applyFill="1" applyBorder="1" applyAlignment="1" applyProtection="1"/>
    <xf numFmtId="2" fontId="11" fillId="28" borderId="296" xfId="44" applyNumberFormat="1" applyFont="1" applyFill="1" applyBorder="1" applyAlignment="1" applyProtection="1">
      <alignment horizontal="left" wrapText="1"/>
      <protection locked="0"/>
    </xf>
    <xf numFmtId="3" fontId="41" fillId="28" borderId="296" xfId="0" applyNumberFormat="1" applyFont="1" applyFill="1" applyBorder="1" applyAlignment="1" applyProtection="1">
      <protection locked="0"/>
    </xf>
    <xf numFmtId="3" fontId="11" fillId="28" borderId="296" xfId="0" applyNumberFormat="1" applyFont="1" applyFill="1" applyBorder="1" applyAlignment="1" applyProtection="1">
      <protection locked="0"/>
    </xf>
    <xf numFmtId="3" fontId="11" fillId="28" borderId="296" xfId="0" applyNumberFormat="1" applyFont="1" applyFill="1" applyBorder="1" applyAlignment="1" applyProtection="1"/>
    <xf numFmtId="170" fontId="41" fillId="28" borderId="296" xfId="74" applyNumberFormat="1" applyFont="1" applyFill="1" applyBorder="1" applyAlignment="1">
      <alignment vertical="top" wrapText="1"/>
    </xf>
    <xf numFmtId="0" fontId="41" fillId="28" borderId="0" xfId="0" applyFont="1" applyFill="1" applyProtection="1">
      <protection locked="0"/>
    </xf>
    <xf numFmtId="170" fontId="11" fillId="28" borderId="296" xfId="43" applyNumberFormat="1" applyFont="1" applyFill="1" applyBorder="1" applyAlignment="1">
      <alignment wrapText="1"/>
    </xf>
    <xf numFmtId="170" fontId="41" fillId="28" borderId="296" xfId="75" applyNumberFormat="1" applyFont="1" applyFill="1" applyBorder="1" applyAlignment="1" applyProtection="1">
      <alignment vertical="top" wrapText="1"/>
    </xf>
    <xf numFmtId="2" fontId="41" fillId="28" borderId="296" xfId="48" applyNumberFormat="1" applyFont="1" applyFill="1" applyBorder="1" applyAlignment="1" applyProtection="1">
      <alignment horizontal="left" vertical="top" wrapText="1"/>
      <protection locked="0"/>
    </xf>
    <xf numFmtId="3" fontId="11" fillId="29" borderId="296" xfId="0" applyNumberFormat="1" applyFont="1" applyFill="1" applyBorder="1" applyAlignment="1" applyProtection="1">
      <protection locked="0"/>
    </xf>
    <xf numFmtId="3" fontId="11" fillId="29" borderId="296" xfId="0" applyNumberFormat="1" applyFont="1" applyFill="1" applyBorder="1" applyAlignment="1" applyProtection="1"/>
    <xf numFmtId="3" fontId="11" fillId="28" borderId="296" xfId="0" applyNumberFormat="1" applyFont="1" applyFill="1" applyBorder="1" applyAlignment="1" applyProtection="1">
      <alignment horizontal="right"/>
      <protection locked="0"/>
    </xf>
    <xf numFmtId="3" fontId="11" fillId="28" borderId="296" xfId="0" applyNumberFormat="1" applyFont="1" applyFill="1" applyBorder="1" applyAlignment="1" applyProtection="1">
      <alignment horizontal="right"/>
    </xf>
    <xf numFmtId="170" fontId="41" fillId="28" borderId="296" xfId="43" applyNumberFormat="1" applyFont="1" applyFill="1" applyBorder="1" applyAlignment="1">
      <alignment wrapText="1"/>
    </xf>
    <xf numFmtId="3" fontId="41" fillId="28" borderId="296" xfId="0" applyNumberFormat="1" applyFont="1" applyFill="1" applyBorder="1" applyAlignment="1" applyProtection="1">
      <alignment horizontal="right"/>
    </xf>
    <xf numFmtId="2" fontId="11" fillId="28" borderId="0" xfId="44" applyNumberFormat="1" applyFont="1" applyFill="1" applyBorder="1" applyAlignment="1" applyProtection="1">
      <alignment horizontal="left" wrapText="1"/>
      <protection locked="0"/>
    </xf>
    <xf numFmtId="3" fontId="11" fillId="28" borderId="0" xfId="0" applyNumberFormat="1" applyFont="1" applyFill="1" applyBorder="1" applyAlignment="1" applyProtection="1">
      <alignment horizontal="right"/>
    </xf>
    <xf numFmtId="3" fontId="11" fillId="28" borderId="0" xfId="0" applyNumberFormat="1" applyFont="1" applyFill="1" applyBorder="1" applyAlignment="1" applyProtection="1">
      <alignment horizontal="right"/>
      <protection locked="0"/>
    </xf>
    <xf numFmtId="2" fontId="29" fillId="28" borderId="0" xfId="0" applyNumberFormat="1" applyFont="1" applyFill="1" applyAlignment="1" applyProtection="1">
      <alignment horizontal="center"/>
      <protection locked="0"/>
    </xf>
    <xf numFmtId="0" fontId="29" fillId="28" borderId="0" xfId="0" applyFont="1" applyFill="1" applyAlignment="1" applyProtection="1">
      <alignment horizontal="center"/>
      <protection locked="0"/>
    </xf>
    <xf numFmtId="0" fontId="29" fillId="28" borderId="0" xfId="0" applyFont="1" applyFill="1" applyAlignment="1" applyProtection="1">
      <alignment horizontal="center"/>
    </xf>
    <xf numFmtId="0" fontId="65" fillId="28" borderId="0" xfId="0" applyFont="1" applyFill="1" applyAlignment="1" applyProtection="1">
      <alignment horizontal="center"/>
    </xf>
    <xf numFmtId="0" fontId="32" fillId="28" borderId="0" xfId="0" applyFont="1" applyFill="1" applyProtection="1">
      <protection locked="0"/>
    </xf>
    <xf numFmtId="0" fontId="32" fillId="29" borderId="0" xfId="0" applyFont="1" applyFill="1" applyProtection="1">
      <protection locked="0"/>
    </xf>
    <xf numFmtId="0" fontId="0" fillId="28" borderId="0" xfId="0" applyFill="1" applyProtection="1"/>
    <xf numFmtId="0" fontId="0" fillId="29" borderId="0" xfId="0" applyFill="1" applyProtection="1"/>
    <xf numFmtId="0" fontId="122" fillId="28" borderId="0" xfId="38" applyFont="1" applyFill="1" applyProtection="1">
      <protection locked="0"/>
    </xf>
    <xf numFmtId="0" fontId="31" fillId="28" borderId="0" xfId="0" applyFont="1" applyFill="1" applyAlignment="1" applyProtection="1">
      <protection locked="0"/>
    </xf>
    <xf numFmtId="0" fontId="31" fillId="29" borderId="0" xfId="0" applyFont="1" applyFill="1" applyProtection="1">
      <protection locked="0"/>
    </xf>
    <xf numFmtId="3" fontId="11" fillId="29" borderId="296" xfId="0" applyNumberFormat="1" applyFont="1" applyFill="1" applyBorder="1" applyAlignment="1" applyProtection="1">
      <alignment horizontal="right"/>
    </xf>
    <xf numFmtId="4" fontId="42" fillId="0" borderId="0" xfId="72" applyNumberFormat="1" applyFont="1" applyFill="1" applyBorder="1" applyAlignment="1">
      <alignment horizontal="center"/>
    </xf>
    <xf numFmtId="4" fontId="103" fillId="0" borderId="0" xfId="72" applyNumberFormat="1" applyFont="1" applyFill="1" applyBorder="1" applyAlignment="1">
      <alignment horizontal="center"/>
    </xf>
    <xf numFmtId="4" fontId="18" fillId="0" borderId="0" xfId="72" applyNumberFormat="1" applyFont="1" applyFill="1" applyBorder="1" applyAlignment="1">
      <alignment horizontal="center"/>
    </xf>
    <xf numFmtId="3" fontId="211" fillId="0" borderId="234" xfId="73" applyNumberFormat="1" applyFont="1" applyFill="1" applyBorder="1" applyAlignment="1" applyProtection="1">
      <alignment horizontal="right" wrapText="1"/>
    </xf>
    <xf numFmtId="3" fontId="211" fillId="0" borderId="234" xfId="73" applyNumberFormat="1" applyFont="1" applyFill="1" applyBorder="1" applyAlignment="1">
      <alignment horizontal="right" wrapText="1"/>
    </xf>
    <xf numFmtId="3" fontId="212" fillId="0" borderId="234" xfId="0" applyNumberFormat="1" applyFont="1" applyFill="1" applyBorder="1" applyAlignment="1">
      <alignment horizontal="right"/>
    </xf>
    <xf numFmtId="3" fontId="213" fillId="0" borderId="234" xfId="73" applyNumberFormat="1" applyFont="1" applyFill="1" applyBorder="1" applyAlignment="1">
      <alignment horizontal="right" wrapText="1"/>
    </xf>
    <xf numFmtId="3" fontId="211" fillId="0" borderId="234" xfId="73" applyNumberFormat="1" applyFont="1" applyFill="1" applyBorder="1" applyAlignment="1">
      <alignment horizontal="right"/>
    </xf>
    <xf numFmtId="3" fontId="213" fillId="0" borderId="234" xfId="73" applyNumberFormat="1" applyFont="1" applyFill="1" applyBorder="1" applyAlignment="1" applyProtection="1">
      <alignment horizontal="right" wrapText="1"/>
    </xf>
    <xf numFmtId="4" fontId="106" fillId="0" borderId="368" xfId="43" applyNumberFormat="1" applyFont="1" applyFill="1" applyBorder="1" applyAlignment="1">
      <alignment wrapText="1"/>
    </xf>
    <xf numFmtId="4" fontId="195" fillId="0" borderId="331" xfId="72" applyNumberFormat="1" applyFont="1" applyFill="1" applyBorder="1" applyAlignment="1">
      <alignment horizontal="right"/>
    </xf>
    <xf numFmtId="3" fontId="212" fillId="0" borderId="331" xfId="0" applyNumberFormat="1" applyFont="1" applyFill="1" applyBorder="1" applyAlignment="1">
      <alignment horizontal="right"/>
    </xf>
    <xf numFmtId="49" fontId="11" fillId="0" borderId="368" xfId="0" applyNumberFormat="1" applyFont="1" applyFill="1" applyBorder="1" applyAlignment="1" applyProtection="1">
      <alignment vertical="center" wrapText="1"/>
    </xf>
    <xf numFmtId="49" fontId="11" fillId="0" borderId="331" xfId="0" applyNumberFormat="1" applyFont="1" applyFill="1" applyBorder="1" applyAlignment="1" applyProtection="1">
      <alignment horizontal="center" vertical="center"/>
    </xf>
    <xf numFmtId="3" fontId="59" fillId="0" borderId="331" xfId="0" applyNumberFormat="1" applyFont="1" applyFill="1" applyBorder="1" applyAlignment="1" applyProtection="1">
      <alignment vertical="center"/>
      <protection locked="0"/>
    </xf>
    <xf numFmtId="3" fontId="59" fillId="0" borderId="330" xfId="0" applyNumberFormat="1" applyFont="1" applyFill="1" applyBorder="1" applyAlignment="1" applyProtection="1">
      <alignment vertical="center"/>
    </xf>
    <xf numFmtId="49" fontId="0" fillId="0" borderId="368" xfId="0" applyNumberFormat="1" applyBorder="1" applyAlignment="1">
      <alignment vertical="center" wrapText="1"/>
    </xf>
    <xf numFmtId="0" fontId="0" fillId="0" borderId="331" xfId="0" applyFill="1" applyBorder="1" applyAlignment="1">
      <alignment horizontal="center" vertical="center"/>
    </xf>
    <xf numFmtId="3" fontId="139" fillId="0" borderId="331" xfId="0" applyNumberFormat="1" applyFont="1" applyFill="1" applyBorder="1" applyAlignment="1" applyProtection="1">
      <alignment vertical="center"/>
      <protection locked="0"/>
    </xf>
    <xf numFmtId="3" fontId="139" fillId="0" borderId="330" xfId="0" applyNumberFormat="1" applyFont="1" applyFill="1" applyBorder="1" applyAlignment="1" applyProtection="1">
      <alignment vertical="center"/>
      <protection locked="0"/>
    </xf>
    <xf numFmtId="3" fontId="140" fillId="0" borderId="0" xfId="0" applyNumberFormat="1" applyFont="1" applyFill="1" applyAlignment="1">
      <alignment vertical="center"/>
    </xf>
    <xf numFmtId="0" fontId="222" fillId="30" borderId="0" xfId="0" applyFont="1" applyFill="1" applyAlignment="1">
      <alignment horizontal="center" vertical="center"/>
    </xf>
    <xf numFmtId="0" fontId="235" fillId="0" borderId="0" xfId="0" applyFont="1" applyFill="1" applyProtection="1"/>
    <xf numFmtId="3" fontId="11" fillId="13" borderId="358" xfId="0" applyNumberFormat="1" applyFont="1" applyFill="1" applyBorder="1" applyAlignment="1" applyProtection="1">
      <alignment horizontal="right" vertical="center" wrapText="1"/>
      <protection locked="0"/>
    </xf>
    <xf numFmtId="3" fontId="11" fillId="0" borderId="358" xfId="49" applyNumberFormat="1" applyFont="1" applyFill="1" applyBorder="1" applyAlignment="1" applyProtection="1">
      <alignment horizontal="right" vertical="center" wrapText="1"/>
      <protection locked="0"/>
    </xf>
    <xf numFmtId="3" fontId="11" fillId="0" borderId="358" xfId="0" applyNumberFormat="1" applyFont="1" applyFill="1" applyBorder="1" applyAlignment="1" applyProtection="1">
      <alignment horizontal="right" vertical="center" wrapText="1"/>
      <protection locked="0"/>
    </xf>
    <xf numFmtId="0" fontId="23" fillId="0" borderId="0" xfId="0" applyFont="1" applyFill="1" applyAlignment="1" applyProtection="1">
      <alignment horizontal="center" vertical="center" wrapText="1"/>
    </xf>
    <xf numFmtId="3" fontId="28" fillId="32" borderId="0" xfId="0" applyNumberFormat="1" applyFont="1" applyFill="1" applyBorder="1" applyAlignment="1" applyProtection="1">
      <alignment vertical="center"/>
    </xf>
    <xf numFmtId="170" fontId="27" fillId="0" borderId="372" xfId="22" applyNumberFormat="1" applyFont="1" applyFill="1" applyBorder="1" applyAlignment="1" applyProtection="1">
      <alignment horizontal="left" vertical="center" wrapText="1"/>
    </xf>
    <xf numFmtId="3" fontId="27" fillId="0" borderId="358" xfId="0" applyNumberFormat="1" applyFont="1" applyFill="1" applyBorder="1" applyAlignment="1" applyProtection="1">
      <alignment horizontal="right" vertical="center" wrapText="1"/>
      <protection locked="0"/>
    </xf>
    <xf numFmtId="4" fontId="27" fillId="0" borderId="341" xfId="0" applyNumberFormat="1" applyFont="1" applyFill="1" applyBorder="1" applyAlignment="1" applyProtection="1">
      <alignment horizontal="right" vertical="center" wrapText="1"/>
      <protection locked="0"/>
    </xf>
    <xf numFmtId="0" fontId="159" fillId="0" borderId="0" xfId="0" applyFont="1" applyFill="1" applyAlignment="1">
      <alignment vertical="center"/>
    </xf>
    <xf numFmtId="0" fontId="12" fillId="31" borderId="263" xfId="22" applyFont="1" applyFill="1" applyBorder="1" applyAlignment="1">
      <alignment vertical="center"/>
    </xf>
    <xf numFmtId="3" fontId="13" fillId="31" borderId="263" xfId="22" applyNumberFormat="1" applyFont="1" applyFill="1" applyBorder="1" applyAlignment="1" applyProtection="1">
      <alignment horizontal="center" vertical="center"/>
      <protection locked="0"/>
    </xf>
    <xf numFmtId="3" fontId="13" fillId="31" borderId="263" xfId="22" applyNumberFormat="1" applyFont="1" applyFill="1" applyBorder="1" applyAlignment="1" applyProtection="1">
      <alignment horizontal="center" vertical="center"/>
    </xf>
    <xf numFmtId="3" fontId="13" fillId="31" borderId="264" xfId="22" applyNumberFormat="1" applyFont="1" applyFill="1" applyBorder="1" applyAlignment="1" applyProtection="1">
      <alignment horizontal="center" vertical="center"/>
      <protection locked="0"/>
    </xf>
    <xf numFmtId="49" fontId="12" fillId="0" borderId="277" xfId="22" applyNumberFormat="1" applyFont="1" applyFill="1" applyBorder="1" applyAlignment="1">
      <alignment vertical="center" wrapText="1"/>
    </xf>
    <xf numFmtId="3" fontId="26" fillId="0" borderId="91" xfId="36" applyNumberFormat="1" applyFont="1" applyFill="1" applyBorder="1" applyAlignment="1" applyProtection="1">
      <alignment horizontal="right" vertical="center"/>
    </xf>
    <xf numFmtId="3" fontId="26" fillId="0" borderId="103" xfId="36" applyNumberFormat="1" applyFont="1" applyFill="1" applyBorder="1" applyAlignment="1" applyProtection="1">
      <alignment horizontal="right" vertical="center"/>
    </xf>
    <xf numFmtId="3" fontId="26" fillId="0" borderId="240" xfId="36" applyNumberFormat="1" applyFont="1" applyFill="1" applyBorder="1" applyAlignment="1" applyProtection="1">
      <alignment horizontal="right" vertical="center"/>
    </xf>
    <xf numFmtId="3" fontId="26" fillId="0" borderId="242" xfId="36" applyNumberFormat="1" applyFont="1" applyFill="1" applyBorder="1" applyAlignment="1" applyProtection="1">
      <alignment horizontal="right" vertical="center"/>
    </xf>
    <xf numFmtId="3" fontId="26" fillId="0" borderId="157" xfId="36" applyNumberFormat="1" applyFont="1" applyFill="1" applyBorder="1" applyAlignment="1" applyProtection="1">
      <alignment horizontal="right" vertical="center"/>
      <protection locked="0"/>
    </xf>
    <xf numFmtId="3" fontId="26" fillId="0" borderId="157" xfId="36" applyNumberFormat="1" applyFont="1" applyFill="1" applyBorder="1" applyAlignment="1" applyProtection="1">
      <alignment horizontal="right" vertical="center"/>
    </xf>
    <xf numFmtId="3" fontId="26" fillId="0" borderId="162" xfId="36" applyNumberFormat="1" applyFont="1" applyFill="1" applyBorder="1" applyAlignment="1" applyProtection="1">
      <alignment horizontal="right" vertical="center"/>
    </xf>
    <xf numFmtId="3" fontId="29" fillId="0" borderId="12" xfId="35" applyNumberFormat="1" applyFont="1" applyFill="1" applyBorder="1" applyAlignment="1" applyProtection="1">
      <alignment horizontal="right" vertical="center"/>
    </xf>
    <xf numFmtId="3" fontId="29" fillId="0" borderId="35" xfId="35" applyNumberFormat="1" applyFont="1" applyFill="1" applyBorder="1" applyAlignment="1" applyProtection="1">
      <alignment horizontal="right" vertical="center"/>
    </xf>
    <xf numFmtId="3" fontId="29" fillId="0" borderId="15" xfId="35" applyNumberFormat="1" applyFont="1" applyFill="1" applyBorder="1" applyAlignment="1" applyProtection="1">
      <alignment horizontal="right" vertical="center"/>
    </xf>
    <xf numFmtId="3" fontId="29" fillId="0" borderId="29" xfId="35" applyNumberFormat="1" applyFont="1" applyFill="1" applyBorder="1" applyAlignment="1" applyProtection="1">
      <alignment horizontal="right" vertical="center"/>
      <protection locked="0"/>
    </xf>
    <xf numFmtId="0" fontId="29" fillId="0" borderId="0" xfId="0" applyFont="1" applyAlignment="1" applyProtection="1">
      <alignment horizontal="center"/>
      <protection locked="0"/>
    </xf>
    <xf numFmtId="0" fontId="63" fillId="0" borderId="0" xfId="0" applyFont="1" applyAlignment="1" applyProtection="1">
      <alignment horizontal="center"/>
      <protection locked="0"/>
    </xf>
    <xf numFmtId="2" fontId="29" fillId="0" borderId="0" xfId="0" applyNumberFormat="1" applyFont="1" applyAlignment="1" applyProtection="1">
      <alignment horizontal="center"/>
    </xf>
    <xf numFmtId="3" fontId="25" fillId="0" borderId="342" xfId="0" applyNumberFormat="1" applyFont="1" applyFill="1" applyBorder="1" applyAlignment="1" applyProtection="1">
      <alignment vertical="center" wrapText="1"/>
      <protection locked="0"/>
    </xf>
    <xf numFmtId="3" fontId="25" fillId="0" borderId="358" xfId="0" applyNumberFormat="1" applyFont="1" applyFill="1" applyBorder="1" applyAlignment="1" applyProtection="1">
      <alignment vertical="center" wrapText="1"/>
      <protection locked="0"/>
    </xf>
    <xf numFmtId="3" fontId="25" fillId="0" borderId="373" xfId="0" applyNumberFormat="1" applyFont="1" applyFill="1" applyBorder="1" applyAlignment="1" applyProtection="1">
      <alignment vertical="center" wrapText="1"/>
    </xf>
    <xf numFmtId="3" fontId="25" fillId="0" borderId="374" xfId="0" applyNumberFormat="1" applyFont="1" applyFill="1" applyBorder="1" applyAlignment="1" applyProtection="1">
      <alignment vertical="center" wrapText="1"/>
      <protection locked="0"/>
    </xf>
    <xf numFmtId="3" fontId="25" fillId="0" borderId="362" xfId="0" applyNumberFormat="1" applyFont="1" applyFill="1" applyBorder="1" applyAlignment="1" applyProtection="1">
      <alignment vertical="center" wrapText="1"/>
      <protection locked="0"/>
    </xf>
    <xf numFmtId="3" fontId="25" fillId="0" borderId="375" xfId="0" applyNumberFormat="1" applyFont="1" applyFill="1" applyBorder="1" applyAlignment="1" applyProtection="1">
      <alignment vertical="center" wrapText="1"/>
    </xf>
    <xf numFmtId="3" fontId="25" fillId="0" borderId="373" xfId="0" applyNumberFormat="1" applyFont="1" applyFill="1" applyBorder="1" applyAlignment="1" applyProtection="1">
      <alignment horizontal="right" vertical="center" wrapText="1"/>
    </xf>
    <xf numFmtId="3" fontId="25" fillId="0" borderId="375" xfId="0" applyNumberFormat="1" applyFont="1" applyFill="1" applyBorder="1" applyAlignment="1" applyProtection="1">
      <alignment horizontal="right" vertical="center" wrapText="1"/>
    </xf>
    <xf numFmtId="0" fontId="12" fillId="0" borderId="376" xfId="37" applyFont="1" applyFill="1" applyBorder="1" applyAlignment="1" applyProtection="1">
      <alignment horizontal="justify" vertical="center"/>
    </xf>
    <xf numFmtId="0" fontId="31" fillId="0" borderId="377" xfId="37" applyFont="1" applyFill="1" applyBorder="1" applyAlignment="1" applyProtection="1">
      <alignment horizontal="center" vertical="center" wrapText="1"/>
    </xf>
    <xf numFmtId="3" fontId="12" fillId="0" borderId="377" xfId="37" applyNumberFormat="1" applyFill="1" applyBorder="1" applyProtection="1">
      <protection locked="0"/>
    </xf>
    <xf numFmtId="3" fontId="12" fillId="0" borderId="377" xfId="37" applyNumberFormat="1" applyFill="1" applyBorder="1" applyProtection="1"/>
    <xf numFmtId="3" fontId="31" fillId="0" borderId="378" xfId="37" applyNumberFormat="1" applyFont="1" applyFill="1" applyBorder="1" applyProtection="1">
      <protection locked="0"/>
    </xf>
    <xf numFmtId="4" fontId="12" fillId="0" borderId="0" xfId="37" applyNumberFormat="1" applyFill="1" applyBorder="1" applyAlignment="1" applyProtection="1">
      <alignment vertical="center"/>
    </xf>
    <xf numFmtId="0" fontId="31" fillId="12" borderId="28" xfId="37" applyFont="1" applyFill="1" applyBorder="1" applyAlignment="1" applyProtection="1">
      <alignment horizontal="center" vertical="center" wrapText="1"/>
    </xf>
    <xf numFmtId="0" fontId="26" fillId="0" borderId="0" xfId="37" applyFont="1" applyFill="1" applyBorder="1" applyAlignment="1" applyProtection="1">
      <alignment vertical="center"/>
    </xf>
    <xf numFmtId="0" fontId="12" fillId="0" borderId="36" xfId="37" applyFill="1" applyBorder="1" applyAlignment="1" applyProtection="1">
      <alignment vertical="center"/>
    </xf>
    <xf numFmtId="0" fontId="12" fillId="0" borderId="379" xfId="37" applyFont="1" applyFill="1" applyBorder="1" applyAlignment="1" applyProtection="1">
      <alignment horizontal="justify" vertical="center"/>
    </xf>
    <xf numFmtId="0" fontId="31" fillId="0" borderId="38" xfId="37" applyFont="1" applyFill="1" applyBorder="1" applyAlignment="1" applyProtection="1">
      <alignment horizontal="center" vertical="center" wrapText="1"/>
    </xf>
    <xf numFmtId="3" fontId="12" fillId="0" borderId="38" xfId="37" applyNumberFormat="1" applyFill="1" applyBorder="1" applyProtection="1">
      <protection locked="0"/>
    </xf>
    <xf numFmtId="3" fontId="12" fillId="0" borderId="38" xfId="37" applyNumberFormat="1" applyFill="1" applyBorder="1" applyProtection="1"/>
    <xf numFmtId="3" fontId="31" fillId="0" borderId="380" xfId="37" applyNumberFormat="1" applyFont="1" applyFill="1" applyBorder="1" applyProtection="1">
      <protection locked="0"/>
    </xf>
    <xf numFmtId="0" fontId="12" fillId="0" borderId="354" xfId="37" applyFont="1" applyFill="1" applyBorder="1" applyAlignment="1" applyProtection="1">
      <alignment horizontal="justify" vertical="center"/>
    </xf>
    <xf numFmtId="0" fontId="31" fillId="0" borderId="355" xfId="37" applyFont="1" applyFill="1" applyBorder="1" applyAlignment="1" applyProtection="1">
      <alignment horizontal="center" vertical="center" wrapText="1"/>
    </xf>
    <xf numFmtId="3" fontId="12" fillId="0" borderId="355" xfId="37" applyNumberFormat="1" applyFill="1" applyBorder="1" applyProtection="1">
      <protection locked="0"/>
    </xf>
    <xf numFmtId="3" fontId="12" fillId="0" borderId="355" xfId="37" applyNumberFormat="1" applyFill="1" applyBorder="1" applyProtection="1"/>
    <xf numFmtId="3" fontId="31" fillId="0" borderId="356" xfId="37" applyNumberFormat="1" applyFont="1" applyFill="1" applyBorder="1" applyProtection="1">
      <protection locked="0"/>
    </xf>
    <xf numFmtId="0" fontId="153" fillId="0" borderId="331" xfId="0" applyFont="1" applyFill="1" applyBorder="1" applyAlignment="1">
      <alignment horizontal="center" vertical="center" wrapText="1"/>
    </xf>
    <xf numFmtId="0" fontId="153" fillId="0" borderId="331" xfId="0" applyFont="1" applyFill="1" applyBorder="1" applyAlignment="1">
      <alignment vertical="center" wrapText="1"/>
    </xf>
    <xf numFmtId="4" fontId="153" fillId="0" borderId="331" xfId="0" applyNumberFormat="1" applyFont="1" applyFill="1" applyBorder="1" applyAlignment="1">
      <alignment vertical="center" wrapText="1"/>
    </xf>
    <xf numFmtId="0" fontId="153" fillId="0" borderId="331" xfId="0" applyFont="1" applyFill="1" applyBorder="1" applyAlignment="1">
      <alignment horizontal="left" vertical="center" wrapText="1"/>
    </xf>
    <xf numFmtId="49" fontId="153" fillId="0" borderId="331" xfId="0" applyNumberFormat="1" applyFont="1" applyFill="1" applyBorder="1" applyAlignment="1">
      <alignment horizontal="center" vertical="center" wrapText="1"/>
    </xf>
    <xf numFmtId="3" fontId="157" fillId="0" borderId="331" xfId="0" applyNumberFormat="1" applyFont="1" applyFill="1" applyBorder="1" applyAlignment="1" applyProtection="1">
      <alignment vertical="center" wrapText="1"/>
      <protection locked="0"/>
    </xf>
    <xf numFmtId="3" fontId="158" fillId="0" borderId="331" xfId="0" applyNumberFormat="1" applyFont="1" applyFill="1" applyBorder="1" applyAlignment="1" applyProtection="1">
      <alignment horizontal="right" vertical="center" wrapText="1"/>
      <protection locked="0"/>
    </xf>
    <xf numFmtId="0" fontId="157" fillId="0" borderId="381" xfId="0" applyFont="1" applyFill="1" applyBorder="1" applyAlignment="1">
      <alignment horizontal="center" vertical="center" wrapText="1"/>
    </xf>
    <xf numFmtId="0" fontId="157" fillId="0" borderId="314" xfId="0" applyFont="1" applyFill="1" applyBorder="1" applyAlignment="1">
      <alignment horizontal="center" vertical="center" wrapText="1"/>
    </xf>
    <xf numFmtId="0" fontId="157" fillId="0" borderId="42" xfId="0" applyFont="1" applyFill="1" applyBorder="1" applyAlignment="1">
      <alignment horizontal="center" vertical="center" wrapText="1"/>
    </xf>
    <xf numFmtId="0" fontId="157" fillId="0" borderId="59" xfId="0" applyFont="1" applyFill="1" applyBorder="1" applyAlignment="1">
      <alignment horizontal="center" vertical="center" wrapText="1"/>
    </xf>
    <xf numFmtId="0" fontId="157" fillId="0" borderId="382" xfId="0" applyFont="1" applyFill="1" applyBorder="1" applyAlignment="1">
      <alignment horizontal="center" vertical="center" wrapText="1"/>
    </xf>
    <xf numFmtId="0" fontId="158" fillId="0" borderId="99" xfId="0" applyFont="1" applyFill="1" applyBorder="1" applyAlignment="1">
      <alignment horizontal="left" vertical="center" wrapText="1"/>
    </xf>
    <xf numFmtId="0" fontId="153" fillId="0" borderId="100" xfId="0" applyFont="1" applyFill="1" applyBorder="1" applyAlignment="1">
      <alignment horizontal="center" vertical="center" wrapText="1"/>
    </xf>
    <xf numFmtId="0" fontId="153" fillId="0" borderId="100" xfId="0" applyFont="1" applyFill="1" applyBorder="1" applyAlignment="1">
      <alignment horizontal="left" vertical="center" wrapText="1"/>
    </xf>
    <xf numFmtId="3" fontId="153" fillId="0" borderId="100" xfId="0" applyNumberFormat="1" applyFont="1" applyFill="1" applyBorder="1" applyAlignment="1">
      <alignment horizontal="right" vertical="center" wrapText="1"/>
    </xf>
    <xf numFmtId="4" fontId="153" fillId="0" borderId="100" xfId="0" applyNumberFormat="1" applyFont="1" applyFill="1" applyBorder="1" applyAlignment="1">
      <alignment vertical="center" wrapText="1"/>
    </xf>
    <xf numFmtId="0" fontId="153" fillId="0" borderId="102" xfId="0" applyFont="1" applyFill="1" applyBorder="1" applyAlignment="1">
      <alignment horizontal="center" vertical="center" wrapText="1"/>
    </xf>
    <xf numFmtId="0" fontId="158" fillId="0" borderId="368" xfId="0" applyFont="1" applyFill="1" applyBorder="1" applyAlignment="1">
      <alignment vertical="center" wrapText="1"/>
    </xf>
    <xf numFmtId="0" fontId="153" fillId="0" borderId="330" xfId="0" applyFont="1" applyFill="1" applyBorder="1" applyAlignment="1">
      <alignment horizontal="center" vertical="center" wrapText="1"/>
    </xf>
    <xf numFmtId="0" fontId="158" fillId="0" borderId="368" xfId="0" applyFont="1" applyFill="1" applyBorder="1" applyAlignment="1">
      <alignment horizontal="left" vertical="center" wrapText="1"/>
    </xf>
    <xf numFmtId="0" fontId="158" fillId="0" borderId="364" xfId="0" applyFont="1" applyFill="1" applyBorder="1" applyAlignment="1">
      <alignment vertical="center" wrapText="1"/>
    </xf>
    <xf numFmtId="0" fontId="153" fillId="0" borderId="367" xfId="0" applyFont="1" applyFill="1" applyBorder="1" applyAlignment="1">
      <alignment horizontal="center" vertical="center" wrapText="1"/>
    </xf>
    <xf numFmtId="0" fontId="153" fillId="0" borderId="367" xfId="0" applyFont="1" applyFill="1" applyBorder="1" applyAlignment="1">
      <alignment vertical="center" wrapText="1"/>
    </xf>
    <xf numFmtId="4" fontId="153" fillId="0" borderId="367" xfId="0" applyNumberFormat="1" applyFont="1" applyFill="1" applyBorder="1" applyAlignment="1">
      <alignment vertical="center" wrapText="1"/>
    </xf>
    <xf numFmtId="0" fontId="153" fillId="0" borderId="365" xfId="0" applyFont="1" applyFill="1" applyBorder="1" applyAlignment="1">
      <alignment horizontal="center" vertical="center" wrapText="1"/>
    </xf>
    <xf numFmtId="0" fontId="158" fillId="0" borderId="99" xfId="0" applyFont="1" applyFill="1" applyBorder="1" applyAlignment="1">
      <alignment vertical="center" wrapText="1"/>
    </xf>
    <xf numFmtId="0" fontId="153" fillId="0" borderId="100" xfId="0" applyFont="1" applyFill="1" applyBorder="1" applyAlignment="1">
      <alignment vertical="center" wrapText="1"/>
    </xf>
    <xf numFmtId="49" fontId="153" fillId="0" borderId="367" xfId="0" applyNumberFormat="1" applyFont="1" applyFill="1" applyBorder="1" applyAlignment="1">
      <alignment horizontal="center" vertical="center" wrapText="1"/>
    </xf>
    <xf numFmtId="49" fontId="153" fillId="0" borderId="100" xfId="0" applyNumberFormat="1" applyFont="1" applyFill="1" applyBorder="1" applyAlignment="1">
      <alignment horizontal="center" vertical="center" wrapText="1"/>
    </xf>
    <xf numFmtId="3" fontId="153" fillId="0" borderId="330" xfId="0" applyNumberFormat="1" applyFont="1" applyFill="1" applyBorder="1" applyAlignment="1">
      <alignment horizontal="right" vertical="center" wrapText="1"/>
    </xf>
    <xf numFmtId="0" fontId="154" fillId="0" borderId="364" xfId="0" applyFont="1" applyFill="1" applyBorder="1" applyAlignment="1">
      <alignment vertical="center" wrapText="1"/>
    </xf>
    <xf numFmtId="0" fontId="154" fillId="0" borderId="367" xfId="0" applyFont="1" applyFill="1" applyBorder="1" applyAlignment="1">
      <alignment horizontal="center" vertical="center" wrapText="1"/>
    </xf>
    <xf numFmtId="3" fontId="176" fillId="0" borderId="367" xfId="0" applyNumberFormat="1" applyFont="1" applyFill="1" applyBorder="1" applyAlignment="1">
      <alignment vertical="center" wrapText="1"/>
    </xf>
    <xf numFmtId="1" fontId="154" fillId="0" borderId="367" xfId="0" applyNumberFormat="1" applyFont="1" applyFill="1" applyBorder="1" applyAlignment="1">
      <alignment vertical="center" wrapText="1"/>
    </xf>
    <xf numFmtId="0" fontId="147" fillId="0" borderId="368" xfId="25" applyFont="1" applyFill="1" applyBorder="1" applyAlignment="1">
      <alignment wrapText="1"/>
    </xf>
    <xf numFmtId="0" fontId="147" fillId="0" borderId="331" xfId="25" applyFont="1" applyFill="1" applyBorder="1" applyAlignment="1">
      <alignment horizontal="center" wrapText="1"/>
    </xf>
    <xf numFmtId="0" fontId="147" fillId="0" borderId="331" xfId="25" applyFont="1" applyFill="1" applyBorder="1" applyAlignment="1" applyProtection="1">
      <alignment wrapText="1"/>
      <protection locked="0"/>
    </xf>
    <xf numFmtId="0" fontId="147" fillId="0" borderId="331" xfId="25" applyFont="1" applyFill="1" applyBorder="1" applyAlignment="1" applyProtection="1">
      <alignment horizontal="center"/>
      <protection locked="0"/>
    </xf>
    <xf numFmtId="4" fontId="147" fillId="0" borderId="331" xfId="25" applyNumberFormat="1" applyFont="1" applyFill="1" applyBorder="1" applyProtection="1">
      <protection locked="0"/>
    </xf>
    <xf numFmtId="4" fontId="139" fillId="0" borderId="331" xfId="25" applyNumberFormat="1" applyFont="1" applyFill="1" applyBorder="1" applyProtection="1">
      <protection locked="0"/>
    </xf>
    <xf numFmtId="0" fontId="147" fillId="0" borderId="330" xfId="25" applyFont="1" applyFill="1" applyBorder="1" applyAlignment="1" applyProtection="1">
      <alignment horizontal="center"/>
      <protection locked="0"/>
    </xf>
    <xf numFmtId="0" fontId="147" fillId="0" borderId="368" xfId="25" applyFont="1" applyFill="1" applyBorder="1" applyAlignment="1">
      <alignment vertical="center" wrapText="1"/>
    </xf>
    <xf numFmtId="0" fontId="147" fillId="0" borderId="331" xfId="25" applyFont="1" applyFill="1" applyBorder="1" applyAlignment="1">
      <alignment horizontal="center" vertical="center" wrapText="1"/>
    </xf>
    <xf numFmtId="0" fontId="147" fillId="0" borderId="331" xfId="25" applyFont="1" applyFill="1" applyBorder="1" applyAlignment="1" applyProtection="1">
      <alignment vertical="center" wrapText="1"/>
      <protection locked="0"/>
    </xf>
    <xf numFmtId="0" fontId="147" fillId="0" borderId="331" xfId="25" applyFont="1" applyFill="1" applyBorder="1" applyAlignment="1" applyProtection="1">
      <alignment horizontal="center" vertical="center"/>
      <protection locked="0"/>
    </xf>
    <xf numFmtId="4" fontId="147" fillId="0" borderId="331" xfId="25" applyNumberFormat="1" applyFont="1" applyFill="1" applyBorder="1" applyAlignment="1" applyProtection="1">
      <alignment vertical="center"/>
      <protection locked="0"/>
    </xf>
    <xf numFmtId="4" fontId="139" fillId="0" borderId="331" xfId="25" applyNumberFormat="1" applyFont="1" applyFill="1" applyBorder="1" applyAlignment="1" applyProtection="1">
      <alignment vertical="center"/>
      <protection locked="0"/>
    </xf>
    <xf numFmtId="0" fontId="147" fillId="0" borderId="330" xfId="25" applyFont="1" applyFill="1" applyBorder="1" applyAlignment="1" applyProtection="1">
      <alignment horizontal="center" vertical="center"/>
      <protection locked="0"/>
    </xf>
    <xf numFmtId="0" fontId="147" fillId="0" borderId="368" xfId="25" applyFont="1" applyFill="1" applyBorder="1" applyAlignment="1">
      <alignment horizontal="left" wrapText="1"/>
    </xf>
    <xf numFmtId="0" fontId="147" fillId="0" borderId="331" xfId="25" applyFont="1" applyFill="1" applyBorder="1" applyAlignment="1" applyProtection="1">
      <alignment horizontal="left" wrapText="1"/>
      <protection locked="0"/>
    </xf>
    <xf numFmtId="173" fontId="147" fillId="0" borderId="331" xfId="25" applyNumberFormat="1" applyFont="1" applyFill="1" applyBorder="1" applyAlignment="1">
      <alignment horizontal="center" vertical="center" wrapText="1"/>
    </xf>
    <xf numFmtId="49" fontId="147" fillId="0" borderId="331" xfId="25" applyNumberFormat="1" applyFont="1" applyFill="1" applyBorder="1" applyAlignment="1">
      <alignment horizontal="center" vertical="center" wrapText="1"/>
    </xf>
    <xf numFmtId="3" fontId="147" fillId="0" borderId="331" xfId="25" applyNumberFormat="1" applyFont="1" applyFill="1" applyBorder="1" applyAlignment="1" applyProtection="1">
      <alignment vertical="center" wrapText="1"/>
      <protection locked="0"/>
    </xf>
    <xf numFmtId="3" fontId="147" fillId="0" borderId="331" xfId="25" applyNumberFormat="1" applyFont="1" applyFill="1" applyBorder="1" applyAlignment="1" applyProtection="1">
      <alignment horizontal="center" vertical="center"/>
      <protection locked="0"/>
    </xf>
    <xf numFmtId="3" fontId="147" fillId="0" borderId="331" xfId="25" applyNumberFormat="1" applyFont="1" applyFill="1" applyBorder="1" applyAlignment="1" applyProtection="1">
      <alignment vertical="center"/>
      <protection locked="0"/>
    </xf>
    <xf numFmtId="3" fontId="130" fillId="0" borderId="331" xfId="25" applyNumberFormat="1" applyFont="1" applyFill="1" applyBorder="1" applyAlignment="1" applyProtection="1">
      <alignment vertical="center"/>
      <protection locked="0"/>
    </xf>
    <xf numFmtId="3" fontId="147" fillId="0" borderId="330" xfId="25" applyNumberFormat="1" applyFont="1" applyFill="1" applyBorder="1" applyAlignment="1" applyProtection="1">
      <alignment horizontal="right" vertical="center"/>
      <protection locked="0"/>
    </xf>
    <xf numFmtId="0" fontId="147" fillId="0" borderId="364" xfId="25" applyFont="1" applyFill="1" applyBorder="1" applyAlignment="1">
      <alignment vertical="center"/>
    </xf>
    <xf numFmtId="0" fontId="147" fillId="0" borderId="367" xfId="25" applyFont="1" applyFill="1" applyBorder="1" applyAlignment="1">
      <alignment horizontal="center" vertical="center"/>
    </xf>
    <xf numFmtId="3" fontId="147" fillId="0" borderId="367" xfId="25" applyNumberFormat="1" applyFont="1" applyFill="1" applyBorder="1" applyAlignment="1" applyProtection="1">
      <alignment vertical="center" wrapText="1"/>
      <protection locked="0"/>
    </xf>
    <xf numFmtId="3" fontId="130" fillId="0" borderId="367" xfId="25" applyNumberFormat="1" applyFont="1" applyFill="1" applyBorder="1" applyAlignment="1" applyProtection="1">
      <alignment vertical="center" wrapText="1"/>
      <protection locked="0"/>
    </xf>
    <xf numFmtId="3" fontId="147" fillId="0" borderId="365" xfId="25" applyNumberFormat="1" applyFont="1" applyFill="1" applyBorder="1" applyAlignment="1" applyProtection="1">
      <alignment vertical="center" wrapText="1"/>
      <protection locked="0"/>
    </xf>
    <xf numFmtId="0" fontId="147" fillId="0" borderId="364" xfId="25" applyFont="1" applyFill="1" applyBorder="1" applyAlignment="1">
      <alignment wrapText="1"/>
    </xf>
    <xf numFmtId="0" fontId="147" fillId="0" borderId="367" xfId="25" applyFont="1" applyFill="1" applyBorder="1" applyAlignment="1">
      <alignment horizontal="center" wrapText="1"/>
    </xf>
    <xf numFmtId="0" fontId="147" fillId="0" borderId="367" xfId="25" applyFont="1" applyFill="1" applyBorder="1" applyAlignment="1" applyProtection="1">
      <alignment wrapText="1"/>
      <protection locked="0"/>
    </xf>
    <xf numFmtId="0" fontId="147" fillId="0" borderId="367" xfId="25" applyFont="1" applyFill="1" applyBorder="1" applyAlignment="1" applyProtection="1">
      <alignment horizontal="center"/>
      <protection locked="0"/>
    </xf>
    <xf numFmtId="4" fontId="147" fillId="0" borderId="367" xfId="25" applyNumberFormat="1" applyFont="1" applyFill="1" applyBorder="1" applyProtection="1">
      <protection locked="0"/>
    </xf>
    <xf numFmtId="4" fontId="139" fillId="0" borderId="367" xfId="25" applyNumberFormat="1" applyFont="1" applyFill="1" applyBorder="1" applyProtection="1">
      <protection locked="0"/>
    </xf>
    <xf numFmtId="0" fontId="147" fillId="0" borderId="365" xfId="25" applyFont="1" applyFill="1" applyBorder="1" applyAlignment="1" applyProtection="1">
      <alignment horizontal="center"/>
      <protection locked="0"/>
    </xf>
    <xf numFmtId="0" fontId="147" fillId="0" borderId="99" xfId="25" applyFont="1" applyFill="1" applyBorder="1" applyAlignment="1">
      <alignment wrapText="1"/>
    </xf>
    <xf numFmtId="0" fontId="147" fillId="0" borderId="100" xfId="25" applyFont="1" applyFill="1" applyBorder="1" applyAlignment="1" applyProtection="1">
      <alignment wrapText="1"/>
      <protection locked="0"/>
    </xf>
    <xf numFmtId="0" fontId="147" fillId="0" borderId="367" xfId="25" applyFont="1" applyFill="1" applyBorder="1" applyAlignment="1">
      <alignment horizontal="center" vertical="center" wrapText="1"/>
    </xf>
    <xf numFmtId="0" fontId="147" fillId="0" borderId="100" xfId="25" applyFont="1" applyFill="1" applyBorder="1" applyAlignment="1">
      <alignment horizontal="center" vertical="center" wrapText="1"/>
    </xf>
    <xf numFmtId="49" fontId="147" fillId="0" borderId="367" xfId="25" applyNumberFormat="1" applyFont="1" applyFill="1" applyBorder="1" applyAlignment="1">
      <alignment horizontal="center" vertical="center" wrapText="1"/>
    </xf>
    <xf numFmtId="49" fontId="147" fillId="0" borderId="100" xfId="25" applyNumberFormat="1" applyFont="1" applyFill="1" applyBorder="1" applyAlignment="1">
      <alignment horizontal="center" vertical="center" wrapText="1"/>
    </xf>
    <xf numFmtId="0" fontId="147" fillId="0" borderId="364" xfId="25" applyFont="1" applyFill="1" applyBorder="1" applyAlignment="1">
      <alignment vertical="center" wrapText="1"/>
    </xf>
    <xf numFmtId="0" fontId="147" fillId="0" borderId="367" xfId="25" applyFont="1" applyFill="1" applyBorder="1" applyAlignment="1" applyProtection="1">
      <alignment vertical="center" wrapText="1"/>
      <protection locked="0"/>
    </xf>
    <xf numFmtId="0" fontId="147" fillId="0" borderId="367" xfId="25" applyFont="1" applyFill="1" applyBorder="1" applyAlignment="1" applyProtection="1">
      <alignment horizontal="center" vertical="center"/>
      <protection locked="0"/>
    </xf>
    <xf numFmtId="4" fontId="147" fillId="0" borderId="367" xfId="25" applyNumberFormat="1" applyFont="1" applyFill="1" applyBorder="1" applyAlignment="1" applyProtection="1">
      <alignment vertical="center"/>
      <protection locked="0"/>
    </xf>
    <xf numFmtId="4" fontId="139" fillId="0" borderId="367" xfId="25" applyNumberFormat="1" applyFont="1" applyFill="1" applyBorder="1" applyAlignment="1" applyProtection="1">
      <alignment vertical="center"/>
      <protection locked="0"/>
    </xf>
    <xf numFmtId="0" fontId="147" fillId="0" borderId="365" xfId="25" applyFont="1" applyFill="1" applyBorder="1" applyAlignment="1" applyProtection="1">
      <alignment horizontal="center" vertical="center"/>
      <protection locked="0"/>
    </xf>
    <xf numFmtId="0" fontId="147" fillId="0" borderId="99" xfId="25" applyFont="1" applyFill="1" applyBorder="1" applyAlignment="1">
      <alignment vertical="center" wrapText="1"/>
    </xf>
    <xf numFmtId="0" fontId="147" fillId="0" borderId="100" xfId="25" applyFont="1" applyFill="1" applyBorder="1" applyAlignment="1" applyProtection="1">
      <alignment vertical="center" wrapText="1"/>
      <protection locked="0"/>
    </xf>
    <xf numFmtId="0" fontId="147" fillId="0" borderId="100" xfId="25" applyFont="1" applyFill="1" applyBorder="1" applyAlignment="1" applyProtection="1">
      <alignment horizontal="center" vertical="center"/>
      <protection locked="0"/>
    </xf>
    <xf numFmtId="4" fontId="147" fillId="0" borderId="100" xfId="25" applyNumberFormat="1" applyFont="1" applyFill="1" applyBorder="1" applyAlignment="1" applyProtection="1">
      <alignment vertical="center"/>
      <protection locked="0"/>
    </xf>
    <xf numFmtId="4" fontId="139" fillId="0" borderId="100" xfId="25" applyNumberFormat="1" applyFont="1" applyFill="1" applyBorder="1" applyAlignment="1" applyProtection="1">
      <alignment vertical="center"/>
      <protection locked="0"/>
    </xf>
    <xf numFmtId="0" fontId="147" fillId="0" borderId="102" xfId="25" applyFont="1" applyFill="1" applyBorder="1" applyAlignment="1" applyProtection="1">
      <alignment horizontal="center" vertical="center"/>
      <protection locked="0"/>
    </xf>
    <xf numFmtId="1" fontId="74" fillId="0" borderId="236" xfId="24" applyNumberFormat="1" applyFont="1" applyFill="1" applyBorder="1" applyAlignment="1" applyProtection="1">
      <alignment vertical="center" wrapText="1"/>
    </xf>
    <xf numFmtId="1" fontId="79" fillId="0" borderId="383" xfId="24" applyNumberFormat="1" applyFont="1" applyFill="1" applyBorder="1" applyAlignment="1" applyProtection="1">
      <alignment vertical="center" wrapText="1"/>
    </xf>
    <xf numFmtId="1" fontId="56" fillId="0" borderId="384" xfId="24" applyNumberFormat="1" applyFont="1" applyFill="1" applyBorder="1" applyAlignment="1" applyProtection="1">
      <alignment horizontal="center" vertical="center"/>
    </xf>
    <xf numFmtId="3" fontId="16" fillId="0" borderId="384" xfId="0" applyNumberFormat="1" applyFont="1" applyBorder="1" applyProtection="1">
      <protection locked="0"/>
    </xf>
    <xf numFmtId="1" fontId="74" fillId="0" borderId="385" xfId="24" applyNumberFormat="1" applyFont="1" applyFill="1" applyBorder="1" applyAlignment="1" applyProtection="1">
      <alignment vertical="center" wrapText="1"/>
    </xf>
    <xf numFmtId="1" fontId="74" fillId="0" borderId="386" xfId="24" applyNumberFormat="1" applyFont="1" applyFill="1" applyBorder="1" applyAlignment="1" applyProtection="1">
      <alignment horizontal="center" vertical="center"/>
    </xf>
    <xf numFmtId="3" fontId="32" fillId="0" borderId="386" xfId="0" applyNumberFormat="1" applyFont="1" applyBorder="1" applyProtection="1">
      <protection locked="0"/>
    </xf>
    <xf numFmtId="1" fontId="56" fillId="0" borderId="100" xfId="0" applyNumberFormat="1" applyFont="1" applyFill="1" applyBorder="1" applyAlignment="1" applyProtection="1">
      <alignment horizontal="center" vertical="center" wrapText="1"/>
    </xf>
    <xf numFmtId="1" fontId="56" fillId="0" borderId="384" xfId="0" applyNumberFormat="1" applyFont="1" applyFill="1" applyBorder="1" applyAlignment="1" applyProtection="1">
      <alignment horizontal="center" vertical="center"/>
    </xf>
    <xf numFmtId="3" fontId="29" fillId="0" borderId="384" xfId="0" applyNumberFormat="1" applyFont="1" applyFill="1" applyBorder="1" applyAlignment="1" applyProtection="1">
      <alignment vertical="center"/>
    </xf>
    <xf numFmtId="3" fontId="29" fillId="0" borderId="387" xfId="0" applyNumberFormat="1" applyFont="1" applyFill="1" applyBorder="1" applyAlignment="1" applyProtection="1">
      <alignment vertical="center"/>
    </xf>
    <xf numFmtId="3" fontId="59" fillId="0" borderId="384" xfId="0" applyNumberFormat="1" applyFont="1" applyBorder="1" applyProtection="1"/>
    <xf numFmtId="3" fontId="59" fillId="0" borderId="387" xfId="0" applyNumberFormat="1" applyFont="1" applyBorder="1" applyProtection="1"/>
    <xf numFmtId="1" fontId="72" fillId="0" borderId="384" xfId="0" applyNumberFormat="1" applyFont="1" applyFill="1" applyBorder="1" applyAlignment="1" applyProtection="1">
      <alignment horizontal="center" vertical="center"/>
    </xf>
    <xf numFmtId="3" fontId="59" fillId="0" borderId="384" xfId="0" applyNumberFormat="1" applyFont="1" applyBorder="1" applyProtection="1">
      <protection locked="0"/>
    </xf>
    <xf numFmtId="3" fontId="59" fillId="0" borderId="387" xfId="0" applyNumberFormat="1" applyFont="1" applyBorder="1" applyProtection="1">
      <protection locked="0"/>
    </xf>
    <xf numFmtId="3" fontId="16" fillId="0" borderId="384" xfId="0" applyNumberFormat="1" applyFont="1" applyBorder="1" applyAlignment="1">
      <alignment vertical="center"/>
    </xf>
    <xf numFmtId="0" fontId="59" fillId="0" borderId="384" xfId="0" applyFont="1" applyBorder="1"/>
    <xf numFmtId="3" fontId="17" fillId="0" borderId="387" xfId="0" applyNumberFormat="1" applyFont="1" applyBorder="1" applyAlignment="1">
      <alignment vertical="center"/>
    </xf>
    <xf numFmtId="1" fontId="74" fillId="0" borderId="384" xfId="24" applyNumberFormat="1" applyFont="1" applyFill="1" applyBorder="1" applyAlignment="1" applyProtection="1">
      <alignment horizontal="center" vertical="center"/>
    </xf>
    <xf numFmtId="3" fontId="59" fillId="0" borderId="387" xfId="0" applyNumberFormat="1" applyFont="1" applyBorder="1"/>
    <xf numFmtId="3" fontId="32" fillId="0" borderId="384" xfId="0" applyNumberFormat="1" applyFont="1" applyBorder="1" applyProtection="1">
      <protection locked="0"/>
    </xf>
    <xf numFmtId="3" fontId="32" fillId="0" borderId="387" xfId="0" applyNumberFormat="1" applyFont="1" applyBorder="1"/>
    <xf numFmtId="0" fontId="59" fillId="0" borderId="386" xfId="0" applyFont="1" applyBorder="1"/>
    <xf numFmtId="3" fontId="32" fillId="0" borderId="388" xfId="0" applyNumberFormat="1" applyFont="1" applyBorder="1"/>
    <xf numFmtId="2" fontId="238" fillId="17" borderId="0" xfId="0" applyNumberFormat="1" applyFont="1" applyFill="1" applyAlignment="1" applyProtection="1">
      <alignment vertical="center"/>
    </xf>
    <xf numFmtId="3" fontId="48" fillId="0" borderId="307" xfId="37" applyNumberFormat="1" applyFont="1" applyFill="1" applyBorder="1" applyAlignment="1" applyProtection="1">
      <alignment vertical="center"/>
    </xf>
    <xf numFmtId="3" fontId="74" fillId="0" borderId="304" xfId="37" applyNumberFormat="1" applyFont="1" applyFill="1" applyBorder="1" applyAlignment="1" applyProtection="1">
      <alignment vertical="center"/>
      <protection locked="0"/>
    </xf>
    <xf numFmtId="3" fontId="153" fillId="0" borderId="331" xfId="0" applyNumberFormat="1" applyFont="1" applyFill="1" applyBorder="1" applyAlignment="1" applyProtection="1">
      <alignment horizontal="center" vertical="center" wrapText="1"/>
      <protection locked="0"/>
    </xf>
    <xf numFmtId="1" fontId="74" fillId="0" borderId="383" xfId="24" applyNumberFormat="1" applyFont="1" applyFill="1" applyBorder="1" applyAlignment="1" applyProtection="1">
      <alignment vertical="center" wrapText="1"/>
    </xf>
    <xf numFmtId="1" fontId="74" fillId="0" borderId="389" xfId="24" applyNumberFormat="1" applyFont="1" applyFill="1" applyBorder="1" applyAlignment="1" applyProtection="1">
      <alignment horizontal="center" vertical="center"/>
    </xf>
    <xf numFmtId="3" fontId="27" fillId="0" borderId="389" xfId="0" applyNumberFormat="1" applyFont="1" applyBorder="1" applyAlignment="1" applyProtection="1">
      <alignment vertical="center"/>
      <protection locked="0"/>
    </xf>
    <xf numFmtId="3" fontId="27" fillId="0" borderId="389" xfId="0" applyNumberFormat="1" applyFont="1" applyBorder="1" applyAlignment="1" applyProtection="1">
      <alignment vertical="center"/>
    </xf>
    <xf numFmtId="3" fontId="26" fillId="0" borderId="389" xfId="0" applyNumberFormat="1" applyFont="1" applyFill="1" applyBorder="1" applyAlignment="1" applyProtection="1">
      <alignment vertical="center"/>
      <protection locked="0"/>
    </xf>
    <xf numFmtId="3" fontId="27" fillId="0" borderId="390" xfId="0" applyNumberFormat="1" applyFont="1" applyBorder="1" applyAlignment="1" applyProtection="1">
      <alignment vertical="center"/>
    </xf>
    <xf numFmtId="1" fontId="79" fillId="0" borderId="389" xfId="24" applyNumberFormat="1" applyFont="1" applyFill="1" applyBorder="1" applyAlignment="1" applyProtection="1">
      <alignment horizontal="center" vertical="center"/>
    </xf>
    <xf numFmtId="3" fontId="16" fillId="0" borderId="389" xfId="0" applyNumberFormat="1" applyFont="1" applyBorder="1" applyAlignment="1" applyProtection="1">
      <alignment vertical="center"/>
      <protection locked="0"/>
    </xf>
    <xf numFmtId="3" fontId="16" fillId="0" borderId="389" xfId="0" applyNumberFormat="1" applyFont="1" applyBorder="1" applyAlignment="1" applyProtection="1">
      <alignment vertical="center"/>
    </xf>
    <xf numFmtId="3" fontId="16" fillId="0" borderId="389" xfId="0" applyNumberFormat="1" applyFont="1" applyFill="1" applyBorder="1" applyAlignment="1" applyProtection="1">
      <alignment vertical="center"/>
      <protection locked="0"/>
    </xf>
    <xf numFmtId="3" fontId="16" fillId="0" borderId="390" xfId="0" applyNumberFormat="1" applyFont="1" applyBorder="1" applyAlignment="1" applyProtection="1">
      <alignment vertical="center"/>
    </xf>
    <xf numFmtId="1" fontId="74" fillId="0" borderId="391" xfId="24" applyNumberFormat="1" applyFont="1" applyFill="1" applyBorder="1" applyAlignment="1" applyProtection="1">
      <alignment vertical="center" wrapText="1"/>
    </xf>
    <xf numFmtId="1" fontId="74" fillId="0" borderId="392" xfId="24" applyNumberFormat="1" applyFont="1" applyFill="1" applyBorder="1" applyAlignment="1" applyProtection="1">
      <alignment horizontal="center" vertical="center"/>
    </xf>
    <xf numFmtId="3" fontId="27" fillId="0" borderId="392" xfId="0" applyNumberFormat="1" applyFont="1" applyBorder="1" applyAlignment="1" applyProtection="1">
      <alignment vertical="center"/>
      <protection locked="0"/>
    </xf>
    <xf numFmtId="3" fontId="27" fillId="0" borderId="392" xfId="0" applyNumberFormat="1" applyFont="1" applyBorder="1" applyAlignment="1" applyProtection="1">
      <alignment vertical="center"/>
    </xf>
    <xf numFmtId="3" fontId="26" fillId="0" borderId="392" xfId="0" applyNumberFormat="1" applyFont="1" applyFill="1" applyBorder="1" applyAlignment="1" applyProtection="1">
      <alignment vertical="center"/>
      <protection locked="0"/>
    </xf>
    <xf numFmtId="3" fontId="27" fillId="0" borderId="393" xfId="0" applyNumberFormat="1" applyFont="1" applyBorder="1" applyAlignment="1" applyProtection="1">
      <alignment vertical="center"/>
    </xf>
    <xf numFmtId="0" fontId="14" fillId="0" borderId="0" xfId="38" applyFill="1" applyAlignment="1" applyProtection="1">
      <alignment horizontal="right"/>
    </xf>
    <xf numFmtId="0" fontId="61" fillId="0" borderId="0" xfId="38" applyFont="1" applyFill="1" applyProtection="1"/>
    <xf numFmtId="0" fontId="48" fillId="0" borderId="0" xfId="0" applyFont="1" applyFill="1" applyAlignment="1" applyProtection="1">
      <alignment horizontal="center" vertical="center"/>
      <protection locked="0"/>
    </xf>
    <xf numFmtId="0" fontId="153" fillId="0" borderId="387" xfId="0" applyFont="1" applyFill="1" applyBorder="1" applyAlignment="1">
      <alignment horizontal="center" vertical="center" wrapText="1"/>
    </xf>
    <xf numFmtId="3" fontId="153" fillId="0" borderId="387" xfId="0" applyNumberFormat="1" applyFont="1" applyFill="1" applyBorder="1" applyAlignment="1" applyProtection="1">
      <alignment horizontal="center" vertical="center" wrapText="1"/>
      <protection locked="0"/>
    </xf>
    <xf numFmtId="3" fontId="16" fillId="0" borderId="384" xfId="0" applyNumberFormat="1" applyFont="1" applyFill="1" applyBorder="1" applyAlignment="1" applyProtection="1">
      <alignment vertical="center"/>
    </xf>
    <xf numFmtId="3" fontId="32" fillId="0" borderId="384" xfId="0" applyNumberFormat="1" applyFont="1" applyFill="1" applyBorder="1" applyAlignment="1" applyProtection="1">
      <alignment vertical="center"/>
    </xf>
    <xf numFmtId="3" fontId="32" fillId="0" borderId="384" xfId="0" applyNumberFormat="1" applyFont="1" applyFill="1" applyBorder="1" applyAlignment="1" applyProtection="1">
      <alignment vertical="center"/>
      <protection locked="0"/>
    </xf>
    <xf numFmtId="3" fontId="0" fillId="0" borderId="100" xfId="0" applyNumberFormat="1" applyFill="1" applyBorder="1" applyAlignment="1" applyProtection="1">
      <alignment horizontal="right" vertical="center"/>
      <protection locked="0"/>
    </xf>
    <xf numFmtId="3" fontId="0" fillId="0" borderId="384" xfId="0" applyNumberFormat="1" applyFill="1" applyBorder="1" applyAlignment="1" applyProtection="1">
      <alignment horizontal="right" vertical="center"/>
      <protection locked="0"/>
    </xf>
    <xf numFmtId="3" fontId="11" fillId="0" borderId="384" xfId="0" applyNumberFormat="1" applyFont="1" applyFill="1" applyBorder="1" applyAlignment="1" applyProtection="1">
      <alignment horizontal="right" vertical="center"/>
      <protection locked="0"/>
    </xf>
    <xf numFmtId="3" fontId="41" fillId="0" borderId="384" xfId="0" applyNumberFormat="1" applyFont="1" applyFill="1" applyBorder="1" applyAlignment="1">
      <alignment horizontal="right" vertical="center"/>
    </xf>
    <xf numFmtId="3" fontId="0" fillId="27" borderId="384" xfId="0" applyNumberFormat="1" applyFill="1" applyBorder="1" applyAlignment="1" applyProtection="1">
      <alignment horizontal="right" vertical="center"/>
      <protection locked="0"/>
    </xf>
    <xf numFmtId="3" fontId="139" fillId="0" borderId="384" xfId="0" applyNumberFormat="1" applyFont="1" applyFill="1" applyBorder="1" applyAlignment="1" applyProtection="1">
      <alignment horizontal="right" vertical="center"/>
      <protection locked="0"/>
    </xf>
    <xf numFmtId="3" fontId="41" fillId="0" borderId="389" xfId="0" applyNumberFormat="1" applyFont="1" applyFill="1" applyBorder="1" applyAlignment="1">
      <alignment horizontal="right" vertical="center"/>
    </xf>
    <xf numFmtId="3" fontId="41" fillId="0" borderId="370" xfId="0" applyNumberFormat="1" applyFont="1" applyFill="1" applyBorder="1" applyAlignment="1">
      <alignment horizontal="right" vertical="center"/>
    </xf>
    <xf numFmtId="49" fontId="0" fillId="0" borderId="230" xfId="0" applyNumberFormat="1" applyBorder="1" applyAlignment="1">
      <alignment vertical="center" wrapText="1"/>
    </xf>
    <xf numFmtId="0" fontId="0" fillId="0" borderId="297" xfId="0" applyFill="1" applyBorder="1" applyAlignment="1">
      <alignment horizontal="center" vertical="center"/>
    </xf>
    <xf numFmtId="3" fontId="0" fillId="0" borderId="297" xfId="0" applyNumberFormat="1" applyFill="1" applyBorder="1" applyAlignment="1" applyProtection="1">
      <alignment horizontal="right" vertical="center"/>
      <protection locked="0"/>
    </xf>
    <xf numFmtId="3" fontId="0" fillId="0" borderId="297" xfId="0" applyNumberFormat="1" applyFill="1" applyBorder="1" applyAlignment="1" applyProtection="1">
      <alignment vertical="center"/>
      <protection locked="0"/>
    </xf>
    <xf numFmtId="3" fontId="0" fillId="0" borderId="298" xfId="0" applyNumberFormat="1" applyFill="1" applyBorder="1" applyAlignment="1" applyProtection="1">
      <alignment vertical="center"/>
      <protection locked="0"/>
    </xf>
    <xf numFmtId="49" fontId="0" fillId="0" borderId="385" xfId="0" applyNumberFormat="1" applyBorder="1" applyAlignment="1">
      <alignment vertical="center" wrapText="1"/>
    </xf>
    <xf numFmtId="0" fontId="0" fillId="0" borderId="386" xfId="0" applyFill="1" applyBorder="1" applyAlignment="1">
      <alignment horizontal="center" vertical="center"/>
    </xf>
    <xf numFmtId="3" fontId="0" fillId="0" borderId="386" xfId="0" applyNumberFormat="1" applyFill="1" applyBorder="1" applyAlignment="1" applyProtection="1">
      <alignment vertical="center"/>
      <protection locked="0"/>
    </xf>
    <xf numFmtId="3" fontId="0" fillId="0" borderId="388" xfId="0" applyNumberFormat="1" applyFill="1" applyBorder="1" applyAlignment="1" applyProtection="1">
      <alignment vertical="center"/>
      <protection locked="0"/>
    </xf>
    <xf numFmtId="49" fontId="0" fillId="0" borderId="325" xfId="0" applyNumberFormat="1" applyBorder="1" applyAlignment="1">
      <alignment vertical="center" wrapText="1"/>
    </xf>
    <xf numFmtId="3" fontId="41" fillId="0" borderId="386" xfId="0" applyNumberFormat="1" applyFont="1" applyFill="1" applyBorder="1" applyAlignment="1">
      <alignment horizontal="right" vertical="center"/>
    </xf>
    <xf numFmtId="3" fontId="41" fillId="0" borderId="386" xfId="0" applyNumberFormat="1" applyFont="1" applyFill="1" applyBorder="1" applyAlignment="1" applyProtection="1">
      <alignment vertical="center"/>
    </xf>
    <xf numFmtId="3" fontId="41" fillId="0" borderId="388" xfId="0" applyNumberFormat="1" applyFont="1" applyFill="1" applyBorder="1" applyAlignment="1" applyProtection="1">
      <alignment vertical="center"/>
    </xf>
    <xf numFmtId="49" fontId="11" fillId="0" borderId="385" xfId="0" applyNumberFormat="1" applyFont="1" applyFill="1" applyBorder="1" applyAlignment="1">
      <alignment vertical="center" wrapText="1"/>
    </xf>
    <xf numFmtId="0" fontId="41" fillId="0" borderId="212" xfId="0" applyFont="1" applyFill="1" applyBorder="1" applyAlignment="1">
      <alignment horizontal="center" vertical="center"/>
    </xf>
    <xf numFmtId="0" fontId="41" fillId="0" borderId="213" xfId="0" applyFont="1" applyFill="1" applyBorder="1" applyAlignment="1">
      <alignment horizontal="center" vertical="center"/>
    </xf>
    <xf numFmtId="3" fontId="41" fillId="0" borderId="370" xfId="0" applyNumberFormat="1" applyFont="1" applyFill="1" applyBorder="1" applyAlignment="1">
      <alignment vertical="center"/>
    </xf>
    <xf numFmtId="3" fontId="41" fillId="0" borderId="371" xfId="0" applyNumberFormat="1" applyFont="1" applyFill="1" applyBorder="1" applyAlignment="1">
      <alignment vertical="center"/>
    </xf>
    <xf numFmtId="3" fontId="240" fillId="32" borderId="0" xfId="0" applyNumberFormat="1" applyFont="1" applyFill="1" applyBorder="1" applyAlignment="1" applyProtection="1">
      <alignment vertical="center"/>
    </xf>
    <xf numFmtId="0" fontId="163" fillId="0" borderId="325" xfId="22" applyFont="1" applyBorder="1" applyAlignment="1" applyProtection="1">
      <alignment horizontal="center" vertical="center" wrapText="1"/>
    </xf>
    <xf numFmtId="1" fontId="56" fillId="0" borderId="178" xfId="0" applyNumberFormat="1" applyFont="1" applyFill="1" applyBorder="1" applyAlignment="1" applyProtection="1">
      <alignment vertical="center" wrapText="1"/>
    </xf>
    <xf numFmtId="1" fontId="56" fillId="0" borderId="297" xfId="0" applyNumberFormat="1" applyFont="1" applyFill="1" applyBorder="1" applyAlignment="1" applyProtection="1">
      <alignment horizontal="center" vertical="center" wrapText="1"/>
    </xf>
    <xf numFmtId="3" fontId="16" fillId="0" borderId="297" xfId="0" applyNumberFormat="1" applyFont="1" applyBorder="1" applyAlignment="1" applyProtection="1">
      <alignment vertical="center"/>
    </xf>
    <xf numFmtId="3" fontId="16" fillId="0" borderId="312" xfId="0" applyNumberFormat="1" applyFont="1" applyBorder="1" applyAlignment="1" applyProtection="1">
      <alignment vertical="center"/>
    </xf>
    <xf numFmtId="1" fontId="56" fillId="0" borderId="396" xfId="0" applyNumberFormat="1" applyFont="1" applyBorder="1" applyAlignment="1" applyProtection="1">
      <alignment horizontal="center" vertical="top" wrapText="1"/>
    </xf>
    <xf numFmtId="1" fontId="56" fillId="0" borderId="212" xfId="0" applyNumberFormat="1" applyFont="1" applyBorder="1" applyAlignment="1" applyProtection="1">
      <alignment horizontal="center" vertical="top" wrapText="1"/>
    </xf>
    <xf numFmtId="1" fontId="31" fillId="0" borderId="212" xfId="0" applyNumberFormat="1" applyFont="1" applyBorder="1" applyAlignment="1" applyProtection="1">
      <alignment horizontal="center"/>
    </xf>
    <xf numFmtId="1" fontId="31" fillId="0" borderId="397" xfId="0" applyNumberFormat="1" applyFont="1" applyBorder="1" applyAlignment="1" applyProtection="1">
      <alignment horizontal="center"/>
    </xf>
    <xf numFmtId="0" fontId="31" fillId="0" borderId="366" xfId="0" applyFont="1" applyBorder="1" applyAlignment="1" applyProtection="1">
      <alignment horizontal="center" vertical="center" wrapText="1"/>
    </xf>
    <xf numFmtId="0" fontId="31" fillId="0" borderId="386" xfId="0" applyFont="1" applyFill="1" applyBorder="1" applyAlignment="1" applyProtection="1">
      <alignment horizontal="center" vertical="center" wrapText="1"/>
    </xf>
    <xf numFmtId="0" fontId="31" fillId="0" borderId="386" xfId="0" applyFont="1" applyBorder="1" applyAlignment="1" applyProtection="1">
      <alignment horizontal="center" vertical="center" wrapText="1"/>
    </xf>
    <xf numFmtId="1" fontId="70" fillId="0" borderId="386" xfId="0" applyNumberFormat="1" applyFont="1" applyFill="1" applyBorder="1" applyAlignment="1" applyProtection="1">
      <alignment horizontal="center" vertical="center" wrapText="1"/>
    </xf>
    <xf numFmtId="3" fontId="53" fillId="0" borderId="0" xfId="0" applyNumberFormat="1" applyFont="1" applyFill="1" applyBorder="1" applyAlignment="1" applyProtection="1">
      <alignment horizontal="center" vertical="center"/>
    </xf>
    <xf numFmtId="3" fontId="241" fillId="22" borderId="0" xfId="0" applyNumberFormat="1" applyFont="1" applyFill="1" applyAlignment="1" applyProtection="1">
      <alignment horizontal="center"/>
    </xf>
    <xf numFmtId="3" fontId="44" fillId="0" borderId="384" xfId="0" applyNumberFormat="1" applyFont="1" applyFill="1" applyBorder="1" applyAlignment="1">
      <alignment vertical="center"/>
    </xf>
    <xf numFmtId="3" fontId="27" fillId="0" borderId="384" xfId="0" applyNumberFormat="1" applyFont="1" applyFill="1" applyBorder="1" applyAlignment="1" applyProtection="1">
      <alignment horizontal="right" vertical="center"/>
      <protection locked="0"/>
    </xf>
    <xf numFmtId="3" fontId="27" fillId="0" borderId="384" xfId="0" applyNumberFormat="1" applyFont="1" applyFill="1" applyBorder="1" applyAlignment="1" applyProtection="1">
      <alignment horizontal="right" vertical="center" wrapText="1"/>
      <protection locked="0"/>
    </xf>
    <xf numFmtId="3" fontId="27" fillId="0" borderId="387" xfId="0" applyNumberFormat="1" applyFont="1" applyFill="1" applyBorder="1" applyAlignment="1" applyProtection="1">
      <alignment horizontal="right" vertical="center"/>
      <protection locked="0"/>
    </xf>
    <xf numFmtId="3" fontId="74" fillId="0" borderId="384" xfId="25" applyNumberFormat="1" applyFont="1" applyFill="1" applyBorder="1" applyAlignment="1">
      <alignment vertical="center"/>
    </xf>
    <xf numFmtId="3" fontId="27" fillId="0" borderId="384" xfId="25" applyNumberFormat="1" applyFont="1" applyFill="1" applyBorder="1" applyAlignment="1" applyProtection="1">
      <alignment horizontal="right" vertical="center" wrapText="1"/>
      <protection locked="0"/>
    </xf>
    <xf numFmtId="3" fontId="27" fillId="0" borderId="384" xfId="25" applyNumberFormat="1" applyFont="1" applyFill="1" applyBorder="1" applyAlignment="1" applyProtection="1">
      <alignment horizontal="right" vertical="center"/>
      <protection locked="0"/>
    </xf>
    <xf numFmtId="3" fontId="27" fillId="0" borderId="387" xfId="25" applyNumberFormat="1" applyFont="1" applyFill="1" applyBorder="1" applyAlignment="1" applyProtection="1">
      <alignment horizontal="right" vertical="center"/>
    </xf>
    <xf numFmtId="3" fontId="48" fillId="0" borderId="384" xfId="0" applyNumberFormat="1" applyFont="1" applyFill="1" applyBorder="1" applyAlignment="1">
      <alignment vertical="center"/>
    </xf>
    <xf numFmtId="3" fontId="32" fillId="0" borderId="384" xfId="0" applyNumberFormat="1" applyFont="1" applyFill="1" applyBorder="1" applyAlignment="1" applyProtection="1">
      <alignment horizontal="right" vertical="center"/>
      <protection locked="0"/>
    </xf>
    <xf numFmtId="3" fontId="32" fillId="0" borderId="384" xfId="0" applyNumberFormat="1" applyFont="1" applyFill="1" applyBorder="1" applyAlignment="1" applyProtection="1">
      <alignment horizontal="right" vertical="center" wrapText="1"/>
      <protection locked="0"/>
    </xf>
    <xf numFmtId="3" fontId="32" fillId="0" borderId="387" xfId="0" applyNumberFormat="1" applyFont="1" applyFill="1" applyBorder="1" applyAlignment="1" applyProtection="1">
      <alignment horizontal="right" vertical="center"/>
      <protection locked="0"/>
    </xf>
    <xf numFmtId="3" fontId="56" fillId="0" borderId="384" xfId="25" applyNumberFormat="1" applyFont="1" applyFill="1" applyBorder="1" applyAlignment="1">
      <alignment vertical="center"/>
    </xf>
    <xf numFmtId="3" fontId="32" fillId="0" borderId="384" xfId="25" applyNumberFormat="1" applyFont="1" applyFill="1" applyBorder="1" applyAlignment="1" applyProtection="1">
      <alignment horizontal="right" vertical="center" wrapText="1"/>
      <protection locked="0"/>
    </xf>
    <xf numFmtId="3" fontId="27" fillId="0" borderId="384" xfId="0" applyNumberFormat="1" applyFont="1" applyFill="1" applyBorder="1" applyAlignment="1" applyProtection="1">
      <alignment horizontal="right" vertical="center"/>
    </xf>
    <xf numFmtId="3" fontId="27" fillId="0" borderId="384" xfId="0" applyNumberFormat="1" applyFont="1" applyFill="1" applyBorder="1" applyAlignment="1" applyProtection="1">
      <alignment horizontal="right" vertical="center" wrapText="1"/>
    </xf>
    <xf numFmtId="3" fontId="16" fillId="0" borderId="384" xfId="0" applyNumberFormat="1" applyFont="1" applyFill="1" applyBorder="1" applyAlignment="1" applyProtection="1">
      <alignment horizontal="right" vertical="center"/>
    </xf>
    <xf numFmtId="3" fontId="63" fillId="0" borderId="387" xfId="25" applyNumberFormat="1" applyFont="1" applyFill="1" applyBorder="1" applyAlignment="1" applyProtection="1">
      <alignment horizontal="right" vertical="center"/>
    </xf>
    <xf numFmtId="3" fontId="24" fillId="0" borderId="384" xfId="0" applyNumberFormat="1" applyFont="1" applyFill="1" applyBorder="1" applyAlignment="1">
      <alignment vertical="center"/>
    </xf>
    <xf numFmtId="3" fontId="72" fillId="0" borderId="384" xfId="25" applyNumberFormat="1" applyFont="1" applyFill="1" applyBorder="1" applyAlignment="1">
      <alignment vertical="center"/>
    </xf>
    <xf numFmtId="3" fontId="24" fillId="0" borderId="384" xfId="0" applyNumberFormat="1" applyFont="1" applyFill="1" applyBorder="1" applyAlignment="1" applyProtection="1">
      <alignment horizontal="right" vertical="center"/>
    </xf>
    <xf numFmtId="3" fontId="11" fillId="0" borderId="384" xfId="25" applyNumberFormat="1" applyFont="1" applyFill="1" applyBorder="1" applyAlignment="1" applyProtection="1">
      <alignment vertical="center"/>
    </xf>
    <xf numFmtId="3" fontId="32" fillId="0" borderId="387" xfId="25" applyNumberFormat="1" applyFont="1" applyFill="1" applyBorder="1" applyAlignment="1" applyProtection="1">
      <alignment horizontal="right" vertical="center"/>
    </xf>
    <xf numFmtId="3" fontId="16" fillId="0" borderId="384" xfId="0" applyNumberFormat="1" applyFont="1" applyFill="1" applyBorder="1" applyAlignment="1" applyProtection="1">
      <alignment horizontal="right" vertical="center" wrapText="1"/>
    </xf>
    <xf numFmtId="3" fontId="16" fillId="0" borderId="387" xfId="0" applyNumberFormat="1" applyFont="1" applyFill="1" applyBorder="1" applyAlignment="1" applyProtection="1">
      <alignment horizontal="right" vertical="center"/>
    </xf>
    <xf numFmtId="3" fontId="79" fillId="0" borderId="384" xfId="25" applyNumberFormat="1" applyFont="1" applyFill="1" applyBorder="1" applyAlignment="1">
      <alignment vertical="center"/>
    </xf>
    <xf numFmtId="3" fontId="16" fillId="0" borderId="384" xfId="25" applyNumberFormat="1" applyFont="1" applyFill="1" applyBorder="1" applyAlignment="1" applyProtection="1">
      <alignment horizontal="right" vertical="center" wrapText="1"/>
      <protection locked="0"/>
    </xf>
    <xf numFmtId="3" fontId="16" fillId="0" borderId="384" xfId="25" applyNumberFormat="1" applyFont="1" applyFill="1" applyBorder="1" applyAlignment="1" applyProtection="1">
      <alignment horizontal="right" vertical="center"/>
      <protection locked="0"/>
    </xf>
    <xf numFmtId="3" fontId="56" fillId="0" borderId="384" xfId="25" applyNumberFormat="1" applyFont="1" applyFill="1" applyBorder="1" applyAlignment="1" applyProtection="1">
      <alignment vertical="center"/>
    </xf>
    <xf numFmtId="3" fontId="26" fillId="0" borderId="384" xfId="25" applyNumberFormat="1" applyFont="1" applyFill="1" applyBorder="1" applyAlignment="1" applyProtection="1">
      <alignment horizontal="right" vertical="center"/>
    </xf>
    <xf numFmtId="3" fontId="26" fillId="0" borderId="387" xfId="25" applyNumberFormat="1" applyFont="1" applyFill="1" applyBorder="1" applyAlignment="1" applyProtection="1">
      <alignment horizontal="right" vertical="center"/>
    </xf>
    <xf numFmtId="3" fontId="26" fillId="0" borderId="384" xfId="25" applyNumberFormat="1" applyFont="1" applyFill="1" applyBorder="1" applyAlignment="1" applyProtection="1">
      <alignment horizontal="right" vertical="center" wrapText="1"/>
    </xf>
    <xf numFmtId="3" fontId="75" fillId="0" borderId="384" xfId="25" applyNumberFormat="1" applyFont="1" applyFill="1" applyBorder="1" applyAlignment="1">
      <alignment vertical="center"/>
    </xf>
    <xf numFmtId="3" fontId="40" fillId="0" borderId="384" xfId="25" applyNumberFormat="1" applyFont="1" applyFill="1" applyBorder="1" applyAlignment="1" applyProtection="1">
      <alignment horizontal="right" vertical="center"/>
    </xf>
    <xf numFmtId="3" fontId="27" fillId="0" borderId="384" xfId="22" applyNumberFormat="1" applyFont="1" applyFill="1" applyBorder="1" applyAlignment="1" applyProtection="1">
      <alignment horizontal="right" vertical="center"/>
      <protection locked="0"/>
    </xf>
    <xf numFmtId="3" fontId="16" fillId="0" borderId="387" xfId="25" applyNumberFormat="1" applyFont="1" applyFill="1" applyBorder="1" applyAlignment="1" applyProtection="1">
      <alignment horizontal="right" vertical="center"/>
    </xf>
    <xf numFmtId="3" fontId="16" fillId="0" borderId="384" xfId="25" applyNumberFormat="1" applyFont="1" applyFill="1" applyBorder="1" applyAlignment="1" applyProtection="1">
      <alignment horizontal="right" vertical="center" wrapText="1"/>
    </xf>
    <xf numFmtId="3" fontId="79" fillId="0" borderId="384" xfId="0" applyNumberFormat="1" applyFont="1" applyFill="1" applyBorder="1" applyAlignment="1">
      <alignment vertical="center"/>
    </xf>
    <xf numFmtId="3" fontId="16" fillId="0" borderId="384" xfId="25" applyNumberFormat="1" applyFont="1" applyFill="1" applyBorder="1" applyAlignment="1" applyProtection="1">
      <alignment horizontal="right" vertical="center"/>
    </xf>
    <xf numFmtId="3" fontId="56" fillId="0" borderId="384" xfId="0" applyNumberFormat="1" applyFont="1" applyFill="1" applyBorder="1" applyAlignment="1">
      <alignment vertical="center"/>
    </xf>
    <xf numFmtId="3" fontId="63" fillId="0" borderId="384" xfId="25" applyNumberFormat="1" applyFont="1" applyFill="1" applyBorder="1" applyAlignment="1" applyProtection="1">
      <alignment horizontal="right" vertical="center" wrapText="1"/>
    </xf>
    <xf numFmtId="3" fontId="79" fillId="0" borderId="384" xfId="25" applyNumberFormat="1" applyFont="1" applyFill="1" applyBorder="1" applyAlignment="1" applyProtection="1">
      <alignment vertical="center"/>
    </xf>
    <xf numFmtId="3" fontId="32" fillId="0" borderId="384" xfId="25" applyNumberFormat="1" applyFont="1" applyFill="1" applyBorder="1" applyAlignment="1" applyProtection="1">
      <alignment horizontal="right" vertical="center"/>
      <protection locked="0"/>
    </xf>
    <xf numFmtId="3" fontId="44" fillId="0" borderId="384" xfId="25" applyNumberFormat="1" applyFont="1" applyFill="1" applyBorder="1" applyAlignment="1" applyProtection="1">
      <alignment vertical="center"/>
    </xf>
    <xf numFmtId="3" fontId="23" fillId="0" borderId="384" xfId="25" applyNumberFormat="1" applyFont="1" applyFill="1" applyBorder="1" applyAlignment="1" applyProtection="1">
      <alignment vertical="center"/>
    </xf>
    <xf numFmtId="0" fontId="74" fillId="0" borderId="384" xfId="25" applyFont="1" applyFill="1" applyBorder="1" applyAlignment="1">
      <alignment horizontal="left" vertical="center"/>
    </xf>
    <xf numFmtId="3" fontId="26" fillId="0" borderId="384" xfId="25" applyNumberFormat="1" applyFont="1" applyFill="1" applyBorder="1" applyAlignment="1" applyProtection="1">
      <alignment horizontal="right" vertical="center" wrapText="1"/>
      <protection locked="0"/>
    </xf>
    <xf numFmtId="3" fontId="26" fillId="0" borderId="384" xfId="25" applyNumberFormat="1" applyFont="1" applyFill="1" applyBorder="1" applyAlignment="1" applyProtection="1">
      <alignment horizontal="right" vertical="center"/>
      <protection locked="0"/>
    </xf>
    <xf numFmtId="3" fontId="133" fillId="0" borderId="384" xfId="25" applyNumberFormat="1" applyFont="1" applyFill="1" applyBorder="1" applyAlignment="1">
      <alignment vertical="center"/>
    </xf>
    <xf numFmtId="3" fontId="27" fillId="0" borderId="384" xfId="25" applyNumberFormat="1" applyFont="1" applyFill="1" applyBorder="1" applyAlignment="1" applyProtection="1">
      <alignment horizontal="right" vertical="center"/>
    </xf>
    <xf numFmtId="3" fontId="63" fillId="0" borderId="384" xfId="25" applyNumberFormat="1" applyFont="1" applyFill="1" applyBorder="1" applyAlignment="1" applyProtection="1">
      <alignment horizontal="right" vertical="center"/>
    </xf>
    <xf numFmtId="3" fontId="27" fillId="0" borderId="384" xfId="25" applyNumberFormat="1" applyFont="1" applyFill="1" applyBorder="1" applyAlignment="1" applyProtection="1">
      <alignment horizontal="right" vertical="center" wrapText="1"/>
    </xf>
    <xf numFmtId="0" fontId="27" fillId="0" borderId="384" xfId="25" applyFont="1" applyFill="1" applyBorder="1" applyProtection="1"/>
    <xf numFmtId="3" fontId="32" fillId="0" borderId="384" xfId="25" applyNumberFormat="1" applyFont="1" applyFill="1" applyBorder="1" applyAlignment="1" applyProtection="1">
      <alignment horizontal="right" vertical="center" wrapText="1"/>
    </xf>
    <xf numFmtId="3" fontId="79" fillId="0" borderId="386" xfId="25" applyNumberFormat="1" applyFont="1" applyFill="1" applyBorder="1" applyAlignment="1">
      <alignment vertical="center"/>
    </xf>
    <xf numFmtId="3" fontId="16" fillId="0" borderId="386" xfId="25" applyNumberFormat="1" applyFont="1" applyFill="1" applyBorder="1" applyAlignment="1" applyProtection="1">
      <alignment horizontal="right" vertical="center"/>
      <protection locked="0"/>
    </xf>
    <xf numFmtId="3" fontId="16" fillId="0" borderId="388" xfId="25" applyNumberFormat="1" applyFont="1" applyFill="1" applyBorder="1" applyAlignment="1" applyProtection="1">
      <alignment horizontal="right" vertical="center"/>
    </xf>
    <xf numFmtId="3" fontId="74" fillId="0" borderId="386" xfId="25" applyNumberFormat="1" applyFont="1" applyFill="1" applyBorder="1" applyAlignment="1">
      <alignment vertical="center"/>
    </xf>
    <xf numFmtId="3" fontId="27" fillId="0" borderId="386" xfId="25" applyNumberFormat="1" applyFont="1" applyFill="1" applyBorder="1" applyAlignment="1" applyProtection="1">
      <alignment horizontal="right" vertical="center" wrapText="1"/>
      <protection locked="0"/>
    </xf>
    <xf numFmtId="3" fontId="27" fillId="0" borderId="386" xfId="25" applyNumberFormat="1" applyFont="1" applyFill="1" applyBorder="1" applyAlignment="1" applyProtection="1">
      <alignment horizontal="right" vertical="center"/>
      <protection locked="0"/>
    </xf>
    <xf numFmtId="3" fontId="27" fillId="0" borderId="388" xfId="25" applyNumberFormat="1" applyFont="1" applyFill="1" applyBorder="1" applyAlignment="1" applyProtection="1">
      <alignment horizontal="right" vertical="center"/>
    </xf>
    <xf numFmtId="3" fontId="11" fillId="0" borderId="297" xfId="25" applyNumberFormat="1" applyFont="1" applyFill="1" applyBorder="1" applyAlignment="1" applyProtection="1">
      <alignment vertical="center"/>
    </xf>
    <xf numFmtId="3" fontId="32" fillId="0" borderId="298" xfId="25" applyNumberFormat="1" applyFont="1" applyFill="1" applyBorder="1" applyAlignment="1" applyProtection="1">
      <alignment horizontal="right" vertical="center"/>
    </xf>
    <xf numFmtId="3" fontId="11" fillId="0" borderId="386" xfId="25" applyNumberFormat="1" applyFont="1" applyFill="1" applyBorder="1" applyAlignment="1" applyProtection="1">
      <alignment vertical="center"/>
    </xf>
    <xf numFmtId="3" fontId="32" fillId="0" borderId="388" xfId="25" applyNumberFormat="1" applyFont="1" applyFill="1" applyBorder="1" applyAlignment="1" applyProtection="1">
      <alignment horizontal="right" vertical="center"/>
    </xf>
    <xf numFmtId="3" fontId="72" fillId="0" borderId="297" xfId="25" applyNumberFormat="1" applyFont="1" applyFill="1" applyBorder="1" applyAlignment="1">
      <alignment vertical="center"/>
    </xf>
    <xf numFmtId="3" fontId="32" fillId="0" borderId="297" xfId="25" applyNumberFormat="1" applyFont="1" applyFill="1" applyBorder="1" applyAlignment="1" applyProtection="1">
      <alignment horizontal="right" vertical="center" wrapText="1"/>
    </xf>
    <xf numFmtId="3" fontId="31" fillId="0" borderId="398" xfId="0" applyNumberFormat="1" applyFont="1" applyFill="1" applyBorder="1" applyAlignment="1" applyProtection="1">
      <alignment vertical="center" wrapText="1"/>
    </xf>
    <xf numFmtId="3" fontId="23" fillId="0" borderId="384" xfId="0" applyNumberFormat="1" applyFont="1" applyFill="1" applyBorder="1" applyAlignment="1" applyProtection="1">
      <alignment vertical="center"/>
    </xf>
    <xf numFmtId="3" fontId="26" fillId="0" borderId="384" xfId="0" applyNumberFormat="1" applyFont="1" applyFill="1" applyBorder="1" applyAlignment="1" applyProtection="1">
      <alignment horizontal="right" vertical="center"/>
    </xf>
    <xf numFmtId="3" fontId="26" fillId="0" borderId="387" xfId="0" applyNumberFormat="1" applyFont="1" applyFill="1" applyBorder="1" applyAlignment="1" applyProtection="1">
      <alignment horizontal="right" vertical="center"/>
    </xf>
    <xf numFmtId="3" fontId="23" fillId="0" borderId="384" xfId="0" applyNumberFormat="1" applyFont="1" applyFill="1" applyBorder="1" applyAlignment="1" applyProtection="1">
      <alignment horizontal="left" vertical="center"/>
    </xf>
    <xf numFmtId="3" fontId="12" fillId="0" borderId="398" xfId="0" applyNumberFormat="1" applyFont="1" applyFill="1" applyBorder="1" applyAlignment="1">
      <alignment vertical="center" wrapText="1"/>
    </xf>
    <xf numFmtId="3" fontId="32" fillId="0" borderId="384" xfId="0" applyNumberFormat="1" applyFont="1" applyFill="1" applyBorder="1" applyAlignment="1" applyProtection="1">
      <alignment horizontal="right" vertical="center"/>
    </xf>
    <xf numFmtId="3" fontId="74" fillId="0" borderId="398" xfId="0" applyNumberFormat="1" applyFont="1" applyFill="1" applyBorder="1" applyAlignment="1">
      <alignment vertical="center" wrapText="1"/>
    </xf>
    <xf numFmtId="3" fontId="12" fillId="0" borderId="398" xfId="0" applyNumberFormat="1" applyFont="1" applyFill="1" applyBorder="1" applyAlignment="1">
      <alignment horizontal="center" vertical="center" wrapText="1"/>
    </xf>
    <xf numFmtId="3" fontId="41" fillId="0" borderId="398" xfId="0" applyNumberFormat="1" applyFont="1" applyFill="1" applyBorder="1" applyAlignment="1">
      <alignment horizontal="left" vertical="center" wrapText="1"/>
    </xf>
    <xf numFmtId="49" fontId="48" fillId="0" borderId="384" xfId="0" applyNumberFormat="1" applyFont="1" applyFill="1" applyBorder="1" applyAlignment="1">
      <alignment vertical="center"/>
    </xf>
    <xf numFmtId="3" fontId="12" fillId="0" borderId="398" xfId="0" applyNumberFormat="1" applyFont="1" applyFill="1" applyBorder="1" applyAlignment="1">
      <alignment horizontal="left" vertical="center" wrapText="1"/>
    </xf>
    <xf numFmtId="49" fontId="44" fillId="0" borderId="384" xfId="0" applyNumberFormat="1" applyFont="1" applyFill="1" applyBorder="1" applyAlignment="1">
      <alignment vertical="center"/>
    </xf>
    <xf numFmtId="3" fontId="31" fillId="0" borderId="398" xfId="0" applyNumberFormat="1" applyFont="1" applyFill="1" applyBorder="1" applyAlignment="1">
      <alignment vertical="center" wrapText="1"/>
    </xf>
    <xf numFmtId="3" fontId="23" fillId="0" borderId="384" xfId="0" applyNumberFormat="1" applyFont="1" applyFill="1" applyBorder="1" applyAlignment="1">
      <alignment vertical="center"/>
    </xf>
    <xf numFmtId="3" fontId="27" fillId="0" borderId="387" xfId="0" applyNumberFormat="1" applyFont="1" applyFill="1" applyBorder="1" applyAlignment="1" applyProtection="1">
      <alignment horizontal="right" vertical="center"/>
    </xf>
    <xf numFmtId="3" fontId="16" fillId="0" borderId="384" xfId="0" applyNumberFormat="1" applyFont="1" applyFill="1" applyBorder="1" applyAlignment="1" applyProtection="1">
      <alignment horizontal="right" vertical="center"/>
      <protection locked="0"/>
    </xf>
    <xf numFmtId="3" fontId="16" fillId="0" borderId="384" xfId="0" applyNumberFormat="1" applyFont="1" applyFill="1" applyBorder="1" applyAlignment="1" applyProtection="1">
      <alignment horizontal="right" vertical="center" wrapText="1"/>
      <protection locked="0"/>
    </xf>
    <xf numFmtId="3" fontId="26" fillId="0" borderId="384" xfId="0" applyNumberFormat="1" applyFont="1" applyFill="1" applyBorder="1" applyAlignment="1" applyProtection="1">
      <alignment horizontal="right" vertical="center" wrapText="1"/>
    </xf>
    <xf numFmtId="3" fontId="16" fillId="0" borderId="387" xfId="0" applyNumberFormat="1" applyFont="1" applyFill="1" applyBorder="1" applyAlignment="1" applyProtection="1">
      <alignment horizontal="right" vertical="center"/>
      <protection locked="0"/>
    </xf>
    <xf numFmtId="3" fontId="26" fillId="0" borderId="384" xfId="0" applyNumberFormat="1" applyFont="1" applyFill="1" applyBorder="1" applyAlignment="1" applyProtection="1">
      <alignment horizontal="right" vertical="center"/>
      <protection locked="0"/>
    </xf>
    <xf numFmtId="3" fontId="79" fillId="0" borderId="398" xfId="25" applyNumberFormat="1" applyFont="1" applyFill="1" applyBorder="1" applyAlignment="1">
      <alignment vertical="center" wrapText="1"/>
    </xf>
    <xf numFmtId="3" fontId="48" fillId="0" borderId="384" xfId="25" applyNumberFormat="1" applyFont="1" applyFill="1" applyBorder="1" applyAlignment="1">
      <alignment vertical="center"/>
    </xf>
    <xf numFmtId="3" fontId="48" fillId="0" borderId="384" xfId="0" applyNumberFormat="1" applyFont="1" applyFill="1" applyBorder="1" applyAlignment="1" applyProtection="1">
      <alignment vertical="center"/>
    </xf>
    <xf numFmtId="3" fontId="41" fillId="0" borderId="398" xfId="0" applyNumberFormat="1" applyFont="1" applyFill="1" applyBorder="1" applyAlignment="1" applyProtection="1">
      <alignment vertical="center" wrapText="1"/>
    </xf>
    <xf numFmtId="3" fontId="79" fillId="0" borderId="398" xfId="0" applyNumberFormat="1" applyFont="1" applyFill="1" applyBorder="1" applyAlignment="1" applyProtection="1">
      <alignment vertical="center" wrapText="1"/>
    </xf>
    <xf numFmtId="3" fontId="72" fillId="0" borderId="398" xfId="0" applyNumberFormat="1" applyFont="1" applyFill="1" applyBorder="1" applyAlignment="1" applyProtection="1">
      <alignment vertical="center" wrapText="1"/>
    </xf>
    <xf numFmtId="3" fontId="11" fillId="0" borderId="384" xfId="0" applyNumberFormat="1" applyFont="1" applyFill="1" applyBorder="1" applyAlignment="1" applyProtection="1">
      <alignment vertical="center" wrapText="1"/>
    </xf>
    <xf numFmtId="3" fontId="72" fillId="0" borderId="384" xfId="0" applyNumberFormat="1" applyFont="1" applyFill="1" applyBorder="1" applyAlignment="1" applyProtection="1">
      <alignment vertical="center" wrapText="1"/>
    </xf>
    <xf numFmtId="3" fontId="24" fillId="0" borderId="398" xfId="0" applyNumberFormat="1" applyFont="1" applyFill="1" applyBorder="1" applyAlignment="1" applyProtection="1">
      <alignment vertical="center" wrapText="1"/>
    </xf>
    <xf numFmtId="3" fontId="24" fillId="0" borderId="398" xfId="0" applyNumberFormat="1" applyFont="1" applyFill="1" applyBorder="1" applyAlignment="1" applyProtection="1">
      <alignment horizontal="left" vertical="center" wrapText="1"/>
    </xf>
    <xf numFmtId="3" fontId="72" fillId="0" borderId="398" xfId="0" applyNumberFormat="1" applyFont="1" applyFill="1" applyBorder="1" applyAlignment="1" applyProtection="1">
      <alignment horizontal="left" vertical="center" wrapText="1"/>
    </xf>
    <xf numFmtId="3" fontId="79" fillId="0" borderId="398" xfId="0" applyNumberFormat="1" applyFont="1" applyFill="1" applyBorder="1" applyAlignment="1" applyProtection="1">
      <alignment horizontal="left" vertical="center" wrapText="1"/>
    </xf>
    <xf numFmtId="3" fontId="48" fillId="0" borderId="384" xfId="0" applyNumberFormat="1" applyFont="1" applyFill="1" applyBorder="1" applyAlignment="1" applyProtection="1">
      <alignment horizontal="left" vertical="center"/>
    </xf>
    <xf numFmtId="3" fontId="24" fillId="0" borderId="384" xfId="0" applyNumberFormat="1" applyFont="1" applyFill="1" applyBorder="1" applyAlignment="1" applyProtection="1">
      <alignment horizontal="left" vertical="center"/>
    </xf>
    <xf numFmtId="3" fontId="41" fillId="0" borderId="398" xfId="0" applyNumberFormat="1" applyFont="1" applyFill="1" applyBorder="1" applyAlignment="1">
      <alignment vertical="center" wrapText="1"/>
    </xf>
    <xf numFmtId="49" fontId="12" fillId="0" borderId="398" xfId="0" applyNumberFormat="1" applyFont="1" applyFill="1" applyBorder="1" applyAlignment="1">
      <alignment vertical="center" wrapText="1"/>
    </xf>
    <xf numFmtId="0" fontId="44" fillId="0" borderId="384" xfId="0" applyFont="1" applyFill="1" applyBorder="1" applyAlignment="1">
      <alignment horizontal="left" vertical="center"/>
    </xf>
    <xf numFmtId="0" fontId="12" fillId="0" borderId="398" xfId="0" applyFont="1" applyFill="1" applyBorder="1" applyAlignment="1">
      <alignment vertical="center" wrapText="1"/>
    </xf>
    <xf numFmtId="3" fontId="123" fillId="0" borderId="398" xfId="0" applyNumberFormat="1" applyFont="1" applyFill="1" applyBorder="1" applyAlignment="1">
      <alignment vertical="center" wrapText="1"/>
    </xf>
    <xf numFmtId="3" fontId="134" fillId="0" borderId="384" xfId="0" applyNumberFormat="1" applyFont="1" applyFill="1" applyBorder="1" applyAlignment="1">
      <alignment vertical="center"/>
    </xf>
    <xf numFmtId="0" fontId="56" fillId="0" borderId="398" xfId="0" applyFont="1" applyFill="1" applyBorder="1" applyAlignment="1">
      <alignment vertical="center" wrapText="1"/>
    </xf>
    <xf numFmtId="2" fontId="23" fillId="0" borderId="384" xfId="0" applyNumberFormat="1" applyFont="1" applyFill="1" applyBorder="1" applyAlignment="1">
      <alignment vertical="center"/>
    </xf>
    <xf numFmtId="49" fontId="56" fillId="0" borderId="398" xfId="0" applyNumberFormat="1" applyFont="1" applyFill="1" applyBorder="1" applyAlignment="1">
      <alignment vertical="center" wrapText="1"/>
    </xf>
    <xf numFmtId="49" fontId="74" fillId="0" borderId="398" xfId="0" applyNumberFormat="1" applyFont="1" applyFill="1" applyBorder="1" applyAlignment="1">
      <alignment vertical="center" wrapText="1"/>
    </xf>
    <xf numFmtId="2" fontId="44" fillId="0" borderId="384" xfId="0" applyNumberFormat="1" applyFont="1" applyFill="1" applyBorder="1" applyAlignment="1">
      <alignment vertical="center"/>
    </xf>
    <xf numFmtId="49" fontId="41" fillId="0" borderId="398" xfId="0" applyNumberFormat="1" applyFont="1" applyFill="1" applyBorder="1" applyAlignment="1">
      <alignment vertical="center" wrapText="1"/>
    </xf>
    <xf numFmtId="2" fontId="41" fillId="0" borderId="384" xfId="0" applyNumberFormat="1" applyFont="1" applyFill="1" applyBorder="1" applyAlignment="1">
      <alignment vertical="center"/>
    </xf>
    <xf numFmtId="40" fontId="12" fillId="0" borderId="398" xfId="0" applyNumberFormat="1" applyFont="1" applyFill="1" applyBorder="1" applyAlignment="1">
      <alignment vertical="center" wrapText="1"/>
    </xf>
    <xf numFmtId="4" fontId="74" fillId="0" borderId="398" xfId="25" applyNumberFormat="1" applyFont="1" applyFill="1" applyBorder="1" applyAlignment="1">
      <alignment wrapText="1"/>
    </xf>
    <xf numFmtId="3" fontId="32" fillId="0" borderId="387" xfId="0" applyNumberFormat="1" applyFont="1" applyFill="1" applyBorder="1" applyAlignment="1" applyProtection="1">
      <alignment horizontal="right" vertical="center"/>
    </xf>
    <xf numFmtId="4" fontId="209" fillId="0" borderId="398" xfId="25" applyNumberFormat="1" applyFont="1" applyFill="1" applyBorder="1" applyAlignment="1">
      <alignment wrapText="1"/>
    </xf>
    <xf numFmtId="3" fontId="207" fillId="0" borderId="384" xfId="0" applyNumberFormat="1" applyFont="1" applyFill="1" applyBorder="1" applyAlignment="1">
      <alignment vertical="center"/>
    </xf>
    <xf numFmtId="3" fontId="64" fillId="0" borderId="384" xfId="0" applyNumberFormat="1" applyFont="1" applyFill="1" applyBorder="1" applyAlignment="1" applyProtection="1">
      <alignment horizontal="right" vertical="center"/>
    </xf>
    <xf numFmtId="3" fontId="64" fillId="0" borderId="387" xfId="0" applyNumberFormat="1" applyFont="1" applyFill="1" applyBorder="1" applyAlignment="1" applyProtection="1">
      <alignment horizontal="right" vertical="center"/>
    </xf>
    <xf numFmtId="4" fontId="44" fillId="0" borderId="398" xfId="25" applyNumberFormat="1" applyFont="1" applyFill="1" applyBorder="1" applyAlignment="1">
      <alignment wrapText="1"/>
    </xf>
    <xf numFmtId="4" fontId="44" fillId="0" borderId="398" xfId="25" applyNumberFormat="1" applyFont="1" applyFill="1" applyBorder="1" applyAlignment="1">
      <alignment horizontal="left" vertical="center" wrapText="1"/>
    </xf>
    <xf numFmtId="3" fontId="63" fillId="0" borderId="384" xfId="0" applyNumberFormat="1" applyFont="1" applyFill="1" applyBorder="1" applyAlignment="1" applyProtection="1">
      <alignment horizontal="right" vertical="center"/>
    </xf>
    <xf numFmtId="3" fontId="63" fillId="0" borderId="387" xfId="0" applyNumberFormat="1" applyFont="1" applyFill="1" applyBorder="1" applyAlignment="1" applyProtection="1">
      <alignment horizontal="right" vertical="center"/>
    </xf>
    <xf numFmtId="170" fontId="79" fillId="0" borderId="398" xfId="0" applyNumberFormat="1" applyFont="1" applyFill="1" applyBorder="1" applyAlignment="1">
      <alignment vertical="center" wrapText="1"/>
    </xf>
    <xf numFmtId="4" fontId="12" fillId="0" borderId="398" xfId="0" applyNumberFormat="1" applyFont="1" applyFill="1" applyBorder="1" applyAlignment="1">
      <alignment vertical="center" wrapText="1"/>
    </xf>
    <xf numFmtId="4" fontId="74" fillId="0" borderId="398" xfId="25" applyNumberFormat="1" applyFont="1" applyFill="1" applyBorder="1" applyAlignment="1">
      <alignment vertical="center" wrapText="1"/>
    </xf>
    <xf numFmtId="40" fontId="74" fillId="0" borderId="398" xfId="0" applyNumberFormat="1" applyFont="1" applyFill="1" applyBorder="1" applyAlignment="1">
      <alignment vertical="center" wrapText="1"/>
    </xf>
    <xf numFmtId="40" fontId="41" fillId="0" borderId="398" xfId="0" applyNumberFormat="1" applyFont="1" applyFill="1" applyBorder="1" applyAlignment="1">
      <alignment vertical="center" wrapText="1"/>
    </xf>
    <xf numFmtId="3" fontId="32" fillId="0" borderId="384" xfId="0" applyNumberFormat="1" applyFont="1" applyFill="1" applyBorder="1" applyAlignment="1" applyProtection="1">
      <alignment horizontal="right" vertical="center" wrapText="1"/>
    </xf>
    <xf numFmtId="3" fontId="11" fillId="0" borderId="398" xfId="0" applyNumberFormat="1" applyFont="1" applyFill="1" applyBorder="1" applyAlignment="1">
      <alignment vertical="center" wrapText="1"/>
    </xf>
    <xf numFmtId="3" fontId="72" fillId="0" borderId="398" xfId="0" applyNumberFormat="1" applyFont="1" applyFill="1" applyBorder="1" applyAlignment="1">
      <alignment vertical="center" wrapText="1"/>
    </xf>
    <xf numFmtId="40" fontId="126" fillId="0" borderId="398" xfId="0" applyNumberFormat="1" applyFont="1" applyFill="1" applyBorder="1" applyAlignment="1">
      <alignment vertical="center" wrapText="1"/>
    </xf>
    <xf numFmtId="3" fontId="64" fillId="0" borderId="384" xfId="0" applyNumberFormat="1" applyFont="1" applyFill="1" applyBorder="1" applyAlignment="1" applyProtection="1">
      <alignment horizontal="right" vertical="center" wrapText="1"/>
    </xf>
    <xf numFmtId="40" fontId="72" fillId="0" borderId="398" xfId="0" applyNumberFormat="1" applyFont="1" applyFill="1" applyBorder="1" applyAlignment="1">
      <alignment vertical="center" wrapText="1"/>
    </xf>
    <xf numFmtId="40" fontId="72" fillId="0" borderId="398" xfId="25" applyNumberFormat="1" applyFont="1" applyFill="1" applyBorder="1" applyAlignment="1">
      <alignment vertical="center" wrapText="1"/>
    </xf>
    <xf numFmtId="40" fontId="72" fillId="0" borderId="398" xfId="25" applyNumberFormat="1" applyFont="1" applyFill="1" applyBorder="1" applyAlignment="1">
      <alignment wrapText="1"/>
    </xf>
    <xf numFmtId="3" fontId="26" fillId="0" borderId="384" xfId="0" applyNumberFormat="1" applyFont="1" applyFill="1" applyBorder="1" applyAlignment="1" applyProtection="1">
      <alignment horizontal="right" vertical="center" wrapText="1"/>
      <protection locked="0"/>
    </xf>
    <xf numFmtId="3" fontId="26" fillId="0" borderId="387" xfId="0" applyNumberFormat="1" applyFont="1" applyFill="1" applyBorder="1" applyAlignment="1" applyProtection="1">
      <alignment horizontal="right" vertical="center"/>
      <protection locked="0"/>
    </xf>
    <xf numFmtId="3" fontId="12" fillId="0" borderId="398" xfId="0" applyNumberFormat="1" applyFont="1" applyFill="1" applyBorder="1" applyAlignment="1">
      <alignment vertical="center"/>
    </xf>
    <xf numFmtId="3" fontId="12" fillId="0" borderId="385" xfId="0" applyNumberFormat="1" applyFont="1" applyFill="1" applyBorder="1" applyAlignment="1">
      <alignment vertical="center"/>
    </xf>
    <xf numFmtId="3" fontId="44" fillId="0" borderId="386" xfId="0" applyNumberFormat="1" applyFont="1" applyFill="1" applyBorder="1" applyAlignment="1">
      <alignment vertical="center"/>
    </xf>
    <xf numFmtId="3" fontId="27" fillId="0" borderId="386" xfId="0" applyNumberFormat="1" applyFont="1" applyFill="1" applyBorder="1" applyAlignment="1" applyProtection="1">
      <alignment horizontal="right" vertical="center"/>
    </xf>
    <xf numFmtId="3" fontId="12" fillId="0" borderId="386" xfId="0" applyNumberFormat="1" applyFont="1" applyFill="1" applyBorder="1" applyAlignment="1" applyProtection="1">
      <alignment horizontal="right" vertical="center"/>
    </xf>
    <xf numFmtId="3" fontId="27" fillId="0" borderId="388" xfId="0" applyNumberFormat="1" applyFont="1" applyFill="1" applyBorder="1" applyAlignment="1" applyProtection="1">
      <alignment horizontal="right" vertical="center"/>
    </xf>
    <xf numFmtId="3" fontId="31" fillId="0" borderId="385" xfId="0" applyNumberFormat="1" applyFont="1" applyFill="1" applyBorder="1" applyAlignment="1" applyProtection="1">
      <alignment vertical="center" wrapText="1"/>
    </xf>
    <xf numFmtId="3" fontId="23" fillId="0" borderId="386" xfId="0" applyNumberFormat="1" applyFont="1" applyFill="1" applyBorder="1" applyAlignment="1" applyProtection="1">
      <alignment vertical="center"/>
    </xf>
    <xf numFmtId="3" fontId="26" fillId="0" borderId="386" xfId="0" applyNumberFormat="1" applyFont="1" applyFill="1" applyBorder="1" applyAlignment="1" applyProtection="1">
      <alignment horizontal="right" vertical="center"/>
    </xf>
    <xf numFmtId="3" fontId="26" fillId="0" borderId="388" xfId="0" applyNumberFormat="1" applyFont="1" applyFill="1" applyBorder="1" applyAlignment="1" applyProtection="1">
      <alignment horizontal="right" vertical="center"/>
    </xf>
    <xf numFmtId="3" fontId="12" fillId="0" borderId="230" xfId="0" applyNumberFormat="1" applyFont="1" applyFill="1" applyBorder="1" applyAlignment="1">
      <alignment vertical="center" wrapText="1"/>
    </xf>
    <xf numFmtId="3" fontId="12" fillId="0" borderId="385" xfId="0" applyNumberFormat="1" applyFont="1" applyFill="1" applyBorder="1" applyAlignment="1">
      <alignment vertical="center" wrapText="1"/>
    </xf>
    <xf numFmtId="3" fontId="27" fillId="0" borderId="386" xfId="0" applyNumberFormat="1" applyFont="1" applyFill="1" applyBorder="1" applyAlignment="1" applyProtection="1">
      <alignment horizontal="right" vertical="center"/>
      <protection locked="0"/>
    </xf>
    <xf numFmtId="3" fontId="27" fillId="0" borderId="386" xfId="0" applyNumberFormat="1" applyFont="1" applyFill="1" applyBorder="1" applyAlignment="1" applyProtection="1">
      <alignment horizontal="right" vertical="center" wrapText="1"/>
      <protection locked="0"/>
    </xf>
    <xf numFmtId="3" fontId="27" fillId="0" borderId="386" xfId="0" applyNumberFormat="1" applyFont="1" applyFill="1" applyBorder="1" applyAlignment="1" applyProtection="1">
      <alignment horizontal="right" vertical="center" wrapText="1"/>
    </xf>
    <xf numFmtId="3" fontId="27" fillId="0" borderId="388" xfId="0" applyNumberFormat="1" applyFont="1" applyFill="1" applyBorder="1" applyAlignment="1" applyProtection="1">
      <alignment horizontal="right" vertical="center"/>
      <protection locked="0"/>
    </xf>
    <xf numFmtId="3" fontId="72" fillId="0" borderId="385" xfId="0" applyNumberFormat="1" applyFont="1" applyFill="1" applyBorder="1" applyAlignment="1" applyProtection="1">
      <alignment vertical="center" wrapText="1"/>
    </xf>
    <xf numFmtId="3" fontId="72" fillId="0" borderId="386" xfId="0" applyNumberFormat="1" applyFont="1" applyFill="1" applyBorder="1" applyAlignment="1" applyProtection="1">
      <alignment vertical="center" wrapText="1"/>
    </xf>
    <xf numFmtId="3" fontId="32" fillId="0" borderId="386" xfId="0" applyNumberFormat="1" applyFont="1" applyFill="1" applyBorder="1" applyAlignment="1" applyProtection="1">
      <alignment horizontal="right" vertical="center"/>
      <protection locked="0"/>
    </xf>
    <xf numFmtId="3" fontId="32" fillId="0" borderId="388" xfId="0" applyNumberFormat="1" applyFont="1" applyFill="1" applyBorder="1" applyAlignment="1" applyProtection="1">
      <alignment horizontal="right" vertical="center"/>
      <protection locked="0"/>
    </xf>
    <xf numFmtId="3" fontId="24" fillId="0" borderId="386" xfId="0" applyNumberFormat="1" applyFont="1" applyFill="1" applyBorder="1" applyAlignment="1">
      <alignment vertical="center"/>
    </xf>
    <xf numFmtId="3" fontId="32" fillId="0" borderId="297" xfId="0" applyNumberFormat="1" applyFont="1" applyFill="1" applyBorder="1" applyAlignment="1" applyProtection="1">
      <alignment horizontal="right" vertical="center"/>
      <protection locked="0"/>
    </xf>
    <xf numFmtId="3" fontId="32" fillId="0" borderId="297" xfId="0" applyNumberFormat="1" applyFont="1" applyFill="1" applyBorder="1" applyAlignment="1" applyProtection="1">
      <alignment horizontal="right" vertical="center"/>
    </xf>
    <xf numFmtId="3" fontId="32" fillId="0" borderId="298" xfId="0" applyNumberFormat="1" applyFont="1" applyFill="1" applyBorder="1" applyAlignment="1" applyProtection="1">
      <alignment horizontal="right" vertical="center"/>
      <protection locked="0"/>
    </xf>
    <xf numFmtId="40" fontId="12" fillId="0" borderId="385" xfId="0" applyNumberFormat="1" applyFont="1" applyFill="1" applyBorder="1" applyAlignment="1">
      <alignment vertical="center" wrapText="1"/>
    </xf>
    <xf numFmtId="3" fontId="32" fillId="0" borderId="386" xfId="0" applyNumberFormat="1" applyFont="1" applyFill="1" applyBorder="1" applyAlignment="1" applyProtection="1">
      <alignment horizontal="right" vertical="center"/>
    </xf>
    <xf numFmtId="3" fontId="27" fillId="0" borderId="298" xfId="0" applyNumberFormat="1" applyFont="1" applyFill="1" applyBorder="1" applyAlignment="1" applyProtection="1">
      <alignment horizontal="right" vertical="center"/>
    </xf>
    <xf numFmtId="3" fontId="16" fillId="0" borderId="297" xfId="0" applyNumberFormat="1" applyFont="1" applyFill="1" applyBorder="1" applyAlignment="1" applyProtection="1">
      <alignment horizontal="right" vertical="center"/>
      <protection locked="0"/>
    </xf>
    <xf numFmtId="3" fontId="16" fillId="0" borderId="297" xfId="0" applyNumberFormat="1" applyFont="1" applyFill="1" applyBorder="1" applyAlignment="1" applyProtection="1">
      <alignment horizontal="right" vertical="center" wrapText="1"/>
      <protection locked="0"/>
    </xf>
    <xf numFmtId="3" fontId="16" fillId="0" borderId="298" xfId="0" applyNumberFormat="1" applyFont="1" applyFill="1" applyBorder="1" applyAlignment="1" applyProtection="1">
      <alignment horizontal="right" vertical="center"/>
      <protection locked="0"/>
    </xf>
    <xf numFmtId="3" fontId="26" fillId="0" borderId="329" xfId="0" applyNumberFormat="1" applyFont="1" applyBorder="1" applyAlignment="1" applyProtection="1">
      <alignment horizontal="right" vertical="center"/>
    </xf>
    <xf numFmtId="2" fontId="155" fillId="0" borderId="0" xfId="71" applyNumberFormat="1" applyFont="1" applyBorder="1" applyAlignment="1" applyProtection="1">
      <alignment horizontal="left" vertical="center" wrapText="1"/>
    </xf>
    <xf numFmtId="3" fontId="155" fillId="0" borderId="0" xfId="71" applyNumberFormat="1" applyFont="1" applyBorder="1" applyAlignment="1" applyProtection="1">
      <alignment horizontal="center" vertical="center"/>
    </xf>
    <xf numFmtId="3" fontId="155" fillId="0" borderId="0" xfId="71" applyNumberFormat="1" applyFont="1" applyBorder="1" applyAlignment="1" applyProtection="1">
      <alignment horizontal="right" vertical="center"/>
    </xf>
    <xf numFmtId="0" fontId="155" fillId="0" borderId="0" xfId="71" applyFont="1" applyBorder="1"/>
    <xf numFmtId="3" fontId="155" fillId="0" borderId="99" xfId="71" applyNumberFormat="1" applyFont="1" applyBorder="1" applyAlignment="1" applyProtection="1">
      <alignment horizontal="center" vertical="center"/>
    </xf>
    <xf numFmtId="3" fontId="155" fillId="0" borderId="102" xfId="71" applyNumberFormat="1" applyFont="1" applyBorder="1" applyAlignment="1" applyProtection="1">
      <alignment horizontal="right" vertical="center"/>
      <protection locked="0"/>
    </xf>
    <xf numFmtId="3" fontId="155" fillId="0" borderId="398" xfId="71" applyNumberFormat="1" applyFont="1" applyBorder="1" applyAlignment="1" applyProtection="1">
      <alignment horizontal="center" vertical="center"/>
    </xf>
    <xf numFmtId="3" fontId="155" fillId="0" borderId="387" xfId="71" applyNumberFormat="1" applyFont="1" applyBorder="1" applyAlignment="1" applyProtection="1">
      <alignment horizontal="right" vertical="center"/>
      <protection locked="0"/>
    </xf>
    <xf numFmtId="3" fontId="155" fillId="0" borderId="385" xfId="71" applyNumberFormat="1" applyFont="1" applyBorder="1" applyAlignment="1" applyProtection="1">
      <alignment horizontal="center" vertical="center"/>
    </xf>
    <xf numFmtId="3" fontId="155" fillId="0" borderId="388" xfId="71" applyNumberFormat="1" applyFont="1" applyBorder="1" applyAlignment="1" applyProtection="1">
      <alignment horizontal="right" vertical="center"/>
    </xf>
    <xf numFmtId="3" fontId="155" fillId="0" borderId="265" xfId="71" applyNumberFormat="1" applyFont="1" applyBorder="1" applyAlignment="1" applyProtection="1">
      <alignment horizontal="center" vertical="center"/>
    </xf>
    <xf numFmtId="3" fontId="155" fillId="0" borderId="265" xfId="71" applyNumberFormat="1" applyFont="1" applyBorder="1" applyAlignment="1" applyProtection="1">
      <alignment horizontal="right" vertical="center"/>
      <protection locked="0"/>
    </xf>
    <xf numFmtId="3" fontId="155" fillId="0" borderId="265" xfId="71" applyNumberFormat="1" applyFont="1" applyBorder="1" applyAlignment="1" applyProtection="1">
      <alignment horizontal="right" vertical="center"/>
    </xf>
    <xf numFmtId="3" fontId="155" fillId="0" borderId="387" xfId="71" applyNumberFormat="1" applyFont="1" applyBorder="1" applyAlignment="1" applyProtection="1">
      <alignment horizontal="right" vertical="center"/>
    </xf>
    <xf numFmtId="3" fontId="11" fillId="28" borderId="358" xfId="0" applyNumberFormat="1" applyFont="1" applyFill="1" applyBorder="1" applyAlignment="1" applyProtection="1"/>
    <xf numFmtId="3" fontId="11" fillId="28" borderId="358" xfId="0" applyNumberFormat="1" applyFont="1" applyFill="1" applyBorder="1" applyAlignment="1" applyProtection="1">
      <protection locked="0"/>
    </xf>
    <xf numFmtId="170" fontId="72" fillId="0" borderId="384" xfId="43" applyNumberFormat="1" applyFont="1" applyFill="1" applyBorder="1" applyAlignment="1">
      <alignment wrapText="1"/>
    </xf>
    <xf numFmtId="4" fontId="126" fillId="0" borderId="296" xfId="42" applyNumberFormat="1" applyFont="1" applyFill="1" applyBorder="1" applyAlignment="1" applyProtection="1">
      <alignment wrapText="1"/>
      <protection locked="0"/>
    </xf>
    <xf numFmtId="3" fontId="11" fillId="0" borderId="296" xfId="0" applyNumberFormat="1" applyFont="1" applyFill="1" applyBorder="1" applyAlignment="1" applyProtection="1">
      <alignment horizontal="right" vertical="center" wrapText="1"/>
    </xf>
    <xf numFmtId="3" fontId="11" fillId="0" borderId="296" xfId="0" applyNumberFormat="1" applyFont="1" applyFill="1" applyBorder="1" applyAlignment="1" applyProtection="1">
      <alignment horizontal="right" vertical="center" wrapText="1"/>
      <protection locked="0"/>
    </xf>
    <xf numFmtId="3" fontId="11" fillId="0" borderId="296" xfId="42" applyNumberFormat="1" applyFont="1" applyFill="1" applyBorder="1" applyAlignment="1" applyProtection="1">
      <alignment horizontal="right" vertical="center" wrapText="1"/>
    </xf>
    <xf numFmtId="170" fontId="11" fillId="0" borderId="384" xfId="43" applyNumberFormat="1" applyFont="1" applyFill="1" applyBorder="1" applyAlignment="1">
      <alignment wrapText="1"/>
    </xf>
    <xf numFmtId="3" fontId="41" fillId="0" borderId="296" xfId="49" applyNumberFormat="1" applyFont="1" applyFill="1" applyBorder="1" applyAlignment="1" applyProtection="1">
      <alignment horizontal="right" vertical="center" wrapText="1"/>
      <protection locked="0"/>
    </xf>
    <xf numFmtId="3" fontId="11" fillId="13" borderId="296" xfId="0" applyNumberFormat="1" applyFont="1" applyFill="1" applyBorder="1" applyAlignment="1" applyProtection="1">
      <alignment horizontal="right" vertical="center" wrapText="1"/>
      <protection locked="0"/>
    </xf>
    <xf numFmtId="3" fontId="11" fillId="0" borderId="384" xfId="76" applyNumberFormat="1" applyFont="1" applyBorder="1" applyAlignment="1">
      <alignment vertical="center" wrapText="1"/>
    </xf>
    <xf numFmtId="3" fontId="11" fillId="0" borderId="296" xfId="49" applyNumberFormat="1" applyFont="1" applyFill="1" applyBorder="1" applyAlignment="1" applyProtection="1">
      <alignment horizontal="right" vertical="center" wrapText="1"/>
      <protection locked="0"/>
    </xf>
    <xf numFmtId="4" fontId="41" fillId="28" borderId="384" xfId="43" applyNumberFormat="1" applyFont="1" applyFill="1" applyBorder="1" applyAlignment="1">
      <alignment wrapText="1"/>
    </xf>
    <xf numFmtId="3" fontId="26" fillId="0" borderId="0" xfId="22" applyNumberFormat="1" applyFont="1" applyFill="1" applyBorder="1" applyAlignment="1">
      <alignment horizontal="left"/>
    </xf>
    <xf numFmtId="0" fontId="32" fillId="0" borderId="0" xfId="22" applyFont="1" applyFill="1" applyBorder="1"/>
    <xf numFmtId="3" fontId="32" fillId="0" borderId="0" xfId="22" applyNumberFormat="1" applyFont="1" applyFill="1" applyBorder="1" applyAlignment="1">
      <alignment vertical="center" wrapText="1"/>
    </xf>
    <xf numFmtId="3" fontId="16" fillId="0" borderId="0" xfId="22" applyNumberFormat="1" applyFont="1" applyFill="1" applyBorder="1" applyAlignment="1">
      <alignment vertical="center" wrapText="1"/>
    </xf>
    <xf numFmtId="0" fontId="26" fillId="0" borderId="0" xfId="22" applyFont="1" applyFill="1" applyBorder="1" applyAlignment="1"/>
    <xf numFmtId="0" fontId="26" fillId="0" borderId="0" xfId="22" applyFont="1" applyFill="1" applyBorder="1" applyAlignment="1">
      <alignment horizontal="center"/>
    </xf>
    <xf numFmtId="3" fontId="26" fillId="0" borderId="0" xfId="40" applyNumberFormat="1" applyFont="1" applyFill="1" applyBorder="1" applyAlignment="1">
      <alignment horizontal="center" vertical="center" wrapText="1"/>
    </xf>
    <xf numFmtId="0" fontId="32" fillId="0" borderId="0" xfId="22" applyFont="1" applyFill="1" applyBorder="1" applyAlignment="1">
      <alignment vertical="center" wrapText="1"/>
    </xf>
    <xf numFmtId="0" fontId="16" fillId="0" borderId="0" xfId="22" applyFont="1" applyFill="1" applyBorder="1" applyAlignment="1">
      <alignment horizontal="center" vertical="top" wrapText="1"/>
    </xf>
    <xf numFmtId="0" fontId="26" fillId="0" borderId="0" xfId="22" applyFont="1" applyFill="1" applyBorder="1" applyAlignment="1">
      <alignment horizontal="left" vertical="center" wrapText="1"/>
    </xf>
    <xf numFmtId="0" fontId="26" fillId="0" borderId="0" xfId="22" applyFont="1" applyFill="1" applyBorder="1" applyAlignment="1">
      <alignment vertical="center" wrapText="1"/>
    </xf>
    <xf numFmtId="3" fontId="63" fillId="0" borderId="0" xfId="22" applyNumberFormat="1" applyFont="1" applyFill="1" applyBorder="1" applyAlignment="1">
      <alignment horizontal="right" vertical="center" wrapText="1"/>
    </xf>
    <xf numFmtId="0" fontId="26" fillId="0" borderId="384" xfId="22" applyFont="1" applyFill="1" applyBorder="1" applyAlignment="1">
      <alignment horizontal="center" vertical="center" wrapText="1"/>
    </xf>
    <xf numFmtId="0" fontId="26" fillId="0" borderId="384" xfId="22" applyFont="1" applyFill="1" applyBorder="1" applyAlignment="1">
      <alignment horizontal="left" vertical="center" wrapText="1"/>
    </xf>
    <xf numFmtId="3" fontId="26" fillId="0" borderId="384" xfId="40" applyNumberFormat="1" applyFont="1" applyFill="1" applyBorder="1" applyAlignment="1">
      <alignment horizontal="center" vertical="center" wrapText="1"/>
    </xf>
    <xf numFmtId="0" fontId="26" fillId="0" borderId="384" xfId="22" applyFont="1" applyFill="1" applyBorder="1" applyAlignment="1">
      <alignment vertical="center" wrapText="1"/>
    </xf>
    <xf numFmtId="3" fontId="27" fillId="0" borderId="384" xfId="22" applyNumberFormat="1" applyFont="1" applyFill="1" applyBorder="1" applyAlignment="1">
      <alignment vertical="center" wrapText="1"/>
    </xf>
    <xf numFmtId="0" fontId="32" fillId="0" borderId="384" xfId="22" applyFont="1" applyFill="1" applyBorder="1" applyAlignment="1"/>
    <xf numFmtId="4" fontId="32" fillId="0" borderId="384" xfId="22" applyNumberFormat="1" applyFont="1" applyFill="1" applyBorder="1"/>
    <xf numFmtId="4" fontId="27" fillId="0" borderId="384" xfId="22" applyNumberFormat="1" applyFont="1" applyFill="1" applyBorder="1"/>
    <xf numFmtId="3" fontId="26" fillId="0" borderId="384" xfId="22" applyNumberFormat="1" applyFont="1" applyFill="1" applyBorder="1" applyAlignment="1">
      <alignment vertical="center" wrapText="1"/>
    </xf>
    <xf numFmtId="0" fontId="16" fillId="0" borderId="384" xfId="22" applyFont="1" applyFill="1" applyBorder="1" applyAlignment="1">
      <alignment horizontal="center" vertical="center" wrapText="1"/>
    </xf>
    <xf numFmtId="0" fontId="16" fillId="0" borderId="384" xfId="22" applyFont="1" applyFill="1" applyBorder="1" applyAlignment="1">
      <alignment vertical="center" wrapText="1"/>
    </xf>
    <xf numFmtId="0" fontId="16" fillId="0" borderId="384" xfId="22" applyFont="1" applyFill="1" applyBorder="1" applyAlignment="1">
      <alignment horizontal="center"/>
    </xf>
    <xf numFmtId="4" fontId="242" fillId="0" borderId="384" xfId="22" applyNumberFormat="1" applyFont="1" applyFill="1" applyBorder="1"/>
    <xf numFmtId="0" fontId="27" fillId="0" borderId="0" xfId="22" applyFont="1" applyFill="1" applyBorder="1"/>
    <xf numFmtId="4" fontId="32" fillId="0" borderId="0" xfId="22" applyNumberFormat="1" applyFont="1" applyFill="1" applyBorder="1"/>
    <xf numFmtId="3" fontId="72" fillId="0" borderId="0" xfId="22" applyNumberFormat="1" applyFont="1" applyFill="1" applyBorder="1" applyAlignment="1">
      <alignment horizontal="left" vertical="center" wrapText="1"/>
    </xf>
    <xf numFmtId="3" fontId="26" fillId="0" borderId="0" xfId="22" applyNumberFormat="1" applyFont="1" applyFill="1" applyBorder="1"/>
    <xf numFmtId="3" fontId="32" fillId="0" borderId="0" xfId="22" applyNumberFormat="1" applyFont="1" applyFill="1" applyBorder="1"/>
    <xf numFmtId="0" fontId="26" fillId="0" borderId="0" xfId="22" applyFont="1" applyFill="1" applyBorder="1"/>
    <xf numFmtId="0" fontId="32" fillId="0" borderId="0" xfId="22" applyFont="1" applyFill="1" applyBorder="1" applyAlignment="1">
      <alignment horizontal="right"/>
    </xf>
    <xf numFmtId="3" fontId="27" fillId="0" borderId="0" xfId="77" applyNumberFormat="1" applyFont="1" applyFill="1" applyAlignment="1">
      <alignment vertical="center" wrapText="1"/>
    </xf>
    <xf numFmtId="0" fontId="204" fillId="0" borderId="0" xfId="77" applyFont="1" applyFill="1" applyAlignment="1">
      <alignment horizontal="center" vertical="top" wrapText="1"/>
    </xf>
    <xf numFmtId="0" fontId="204" fillId="0" borderId="0" xfId="77" applyFont="1" applyFill="1" applyBorder="1" applyAlignment="1">
      <alignment horizontal="center" vertical="top" wrapText="1"/>
    </xf>
    <xf numFmtId="0" fontId="204" fillId="0" borderId="0" xfId="77" applyFont="1" applyFill="1" applyAlignment="1">
      <alignment horizontal="center"/>
    </xf>
    <xf numFmtId="0" fontId="32" fillId="0" borderId="0" xfId="22" applyFont="1" applyBorder="1"/>
    <xf numFmtId="3" fontId="32" fillId="0" borderId="0" xfId="77" applyNumberFormat="1" applyFont="1" applyFill="1" applyAlignment="1">
      <alignment vertical="center" wrapText="1"/>
    </xf>
    <xf numFmtId="0" fontId="26" fillId="0" borderId="0" xfId="22" applyFont="1" applyFill="1" applyBorder="1" applyAlignment="1">
      <alignment horizontal="center" vertical="center" wrapText="1"/>
    </xf>
    <xf numFmtId="3" fontId="16" fillId="0" borderId="0" xfId="78" applyNumberFormat="1" applyFont="1" applyFill="1" applyBorder="1" applyAlignment="1" applyProtection="1">
      <alignment wrapText="1"/>
    </xf>
    <xf numFmtId="0" fontId="204" fillId="0" borderId="0" xfId="77" applyFont="1" applyBorder="1" applyAlignment="1">
      <alignment horizontal="center" vertical="top" wrapText="1"/>
    </xf>
    <xf numFmtId="3" fontId="32" fillId="0" borderId="0" xfId="78" applyNumberFormat="1" applyFont="1" applyFill="1" applyBorder="1" applyProtection="1"/>
    <xf numFmtId="3" fontId="31" fillId="0" borderId="0" xfId="22" applyNumberFormat="1" applyFont="1" applyFill="1" applyBorder="1" applyAlignment="1">
      <alignment horizontal="left"/>
    </xf>
    <xf numFmtId="3" fontId="41" fillId="0" borderId="0" xfId="22" applyNumberFormat="1" applyFont="1" applyBorder="1" applyAlignment="1"/>
    <xf numFmtId="0" fontId="11" fillId="0" borderId="0" xfId="22" applyFont="1" applyFill="1" applyBorder="1"/>
    <xf numFmtId="3" fontId="11" fillId="0" borderId="0" xfId="22" applyNumberFormat="1" applyFont="1" applyFill="1" applyBorder="1" applyAlignment="1">
      <alignment vertical="center" wrapText="1"/>
    </xf>
    <xf numFmtId="3" fontId="41" fillId="0" borderId="0" xfId="22" applyNumberFormat="1" applyFont="1" applyBorder="1" applyAlignment="1">
      <alignment horizontal="center"/>
    </xf>
    <xf numFmtId="3" fontId="41" fillId="0" borderId="0" xfId="22" applyNumberFormat="1" applyFont="1" applyFill="1" applyBorder="1" applyAlignment="1">
      <alignment vertical="center" wrapText="1"/>
    </xf>
    <xf numFmtId="0" fontId="41" fillId="0" borderId="0" xfId="22" applyFont="1" applyFill="1" applyBorder="1" applyAlignment="1">
      <alignment horizontal="center" wrapText="1"/>
    </xf>
    <xf numFmtId="0" fontId="31" fillId="0" borderId="0" xfId="22" applyFont="1" applyFill="1" applyBorder="1" applyAlignment="1"/>
    <xf numFmtId="0" fontId="31" fillId="0" borderId="0" xfId="22" applyFont="1" applyFill="1" applyBorder="1" applyAlignment="1">
      <alignment horizontal="left" vertical="center" wrapText="1"/>
    </xf>
    <xf numFmtId="0" fontId="12" fillId="0" borderId="0" xfId="22" applyFont="1" applyFill="1" applyBorder="1" applyAlignment="1">
      <alignment vertical="center" wrapText="1"/>
    </xf>
    <xf numFmtId="0" fontId="31" fillId="0" borderId="0" xfId="22" applyFont="1" applyFill="1" applyBorder="1" applyAlignment="1">
      <alignment vertical="center" wrapText="1"/>
    </xf>
    <xf numFmtId="0" fontId="11" fillId="0" borderId="0" xfId="22" applyFont="1" applyFill="1" applyBorder="1" applyAlignment="1">
      <alignment vertical="center" wrapText="1"/>
    </xf>
    <xf numFmtId="3" fontId="123" fillId="0" borderId="0" xfId="22" applyNumberFormat="1" applyFont="1" applyFill="1" applyBorder="1" applyAlignment="1">
      <alignment horizontal="right" vertical="center" wrapText="1"/>
    </xf>
    <xf numFmtId="0" fontId="31" fillId="0" borderId="384" xfId="22" applyFont="1" applyFill="1" applyBorder="1" applyAlignment="1">
      <alignment horizontal="center" vertical="center" wrapText="1"/>
    </xf>
    <xf numFmtId="0" fontId="31" fillId="0" borderId="384" xfId="22" applyFont="1" applyFill="1" applyBorder="1" applyAlignment="1">
      <alignment horizontal="left" vertical="center" wrapText="1"/>
    </xf>
    <xf numFmtId="3" fontId="31" fillId="0" borderId="384" xfId="40" applyNumberFormat="1" applyFont="1" applyFill="1" applyBorder="1" applyAlignment="1">
      <alignment horizontal="center" vertical="center" wrapText="1"/>
    </xf>
    <xf numFmtId="0" fontId="31" fillId="0" borderId="384" xfId="22" applyFont="1" applyFill="1" applyBorder="1" applyAlignment="1">
      <alignment vertical="center" wrapText="1"/>
    </xf>
    <xf numFmtId="3" fontId="12" fillId="0" borderId="384" xfId="22" applyNumberFormat="1" applyFont="1" applyFill="1" applyBorder="1" applyAlignment="1">
      <alignment vertical="center" wrapText="1"/>
    </xf>
    <xf numFmtId="0" fontId="11" fillId="0" borderId="384" xfId="22" applyFont="1" applyFill="1" applyBorder="1" applyAlignment="1"/>
    <xf numFmtId="4" fontId="31" fillId="0" borderId="384" xfId="22" applyNumberFormat="1" applyFont="1" applyFill="1" applyBorder="1"/>
    <xf numFmtId="4" fontId="11" fillId="0" borderId="0" xfId="22" applyNumberFormat="1" applyFont="1" applyFill="1" applyBorder="1"/>
    <xf numFmtId="3" fontId="31" fillId="0" borderId="384" xfId="22" applyNumberFormat="1" applyFont="1" applyFill="1" applyBorder="1" applyAlignment="1">
      <alignment vertical="center" wrapText="1"/>
    </xf>
    <xf numFmtId="4" fontId="12" fillId="0" borderId="384" xfId="22" applyNumberFormat="1" applyFont="1" applyFill="1" applyBorder="1"/>
    <xf numFmtId="0" fontId="41" fillId="0" borderId="384" xfId="22" applyFont="1" applyFill="1" applyBorder="1" applyAlignment="1">
      <alignment horizontal="center" vertical="center" wrapText="1"/>
    </xf>
    <xf numFmtId="0" fontId="41" fillId="0" borderId="384" xfId="22" applyFont="1" applyFill="1" applyBorder="1" applyAlignment="1">
      <alignment vertical="center" wrapText="1"/>
    </xf>
    <xf numFmtId="4" fontId="11" fillId="0" borderId="384" xfId="22" applyNumberFormat="1" applyFont="1" applyFill="1" applyBorder="1"/>
    <xf numFmtId="170" fontId="41" fillId="0" borderId="384" xfId="43" applyNumberFormat="1" applyFont="1" applyFill="1" applyBorder="1" applyAlignment="1">
      <alignment wrapText="1"/>
    </xf>
    <xf numFmtId="0" fontId="11" fillId="28" borderId="384" xfId="22" applyFont="1" applyFill="1" applyBorder="1" applyAlignment="1"/>
    <xf numFmtId="4" fontId="11" fillId="28" borderId="384" xfId="22" applyNumberFormat="1" applyFont="1" applyFill="1" applyBorder="1"/>
    <xf numFmtId="4" fontId="11" fillId="28" borderId="0" xfId="22" applyNumberFormat="1" applyFont="1" applyFill="1" applyBorder="1"/>
    <xf numFmtId="0" fontId="11" fillId="28" borderId="0" xfId="22" applyFont="1" applyFill="1" applyBorder="1"/>
    <xf numFmtId="3" fontId="243" fillId="0" borderId="0" xfId="22" applyNumberFormat="1" applyFont="1" applyFill="1" applyBorder="1" applyAlignment="1">
      <alignment horizontal="left" vertical="center" wrapText="1"/>
    </xf>
    <xf numFmtId="3" fontId="31" fillId="0" borderId="0" xfId="22" applyNumberFormat="1" applyFont="1" applyFill="1" applyBorder="1"/>
    <xf numFmtId="3" fontId="11" fillId="0" borderId="0" xfId="22" applyNumberFormat="1" applyFont="1" applyFill="1" applyBorder="1"/>
    <xf numFmtId="0" fontId="31" fillId="0" borderId="0" xfId="22" applyFont="1" applyFill="1" applyBorder="1"/>
    <xf numFmtId="0" fontId="31" fillId="0" borderId="0" xfId="78" applyFont="1" applyFill="1" applyBorder="1" applyAlignment="1"/>
    <xf numFmtId="0" fontId="11" fillId="0" borderId="0" xfId="22" applyFont="1" applyBorder="1"/>
    <xf numFmtId="3" fontId="11" fillId="0" borderId="0" xfId="77" applyNumberFormat="1" applyFont="1" applyFill="1" applyAlignment="1">
      <alignment vertical="center" wrapText="1"/>
    </xf>
    <xf numFmtId="0" fontId="31" fillId="0" borderId="0" xfId="22" applyFont="1" applyFill="1" applyBorder="1" applyAlignment="1">
      <alignment horizontal="center" vertical="center" wrapText="1"/>
    </xf>
    <xf numFmtId="0" fontId="27" fillId="0" borderId="0" xfId="22" applyFont="1" applyFill="1" applyBorder="1" applyAlignment="1">
      <alignment vertical="center" wrapText="1"/>
    </xf>
    <xf numFmtId="0" fontId="26" fillId="0" borderId="0" xfId="22" applyFont="1" applyFill="1" applyBorder="1" applyAlignment="1">
      <alignment horizontal="center" wrapText="1"/>
    </xf>
    <xf numFmtId="3" fontId="187" fillId="0" borderId="0" xfId="22" applyNumberFormat="1" applyFont="1" applyFill="1" applyBorder="1" applyAlignment="1">
      <alignment horizontal="right" vertical="center" wrapText="1"/>
    </xf>
    <xf numFmtId="0" fontId="27" fillId="0" borderId="384" xfId="22" applyFont="1" applyFill="1" applyBorder="1" applyAlignment="1"/>
    <xf numFmtId="4" fontId="27" fillId="0" borderId="0" xfId="22" applyNumberFormat="1" applyFont="1" applyFill="1" applyBorder="1"/>
    <xf numFmtId="3" fontId="74" fillId="0" borderId="0" xfId="22" applyNumberFormat="1" applyFont="1" applyFill="1" applyBorder="1" applyAlignment="1">
      <alignment horizontal="left" vertical="center" wrapText="1"/>
    </xf>
    <xf numFmtId="3" fontId="27" fillId="0" borderId="0" xfId="22" applyNumberFormat="1" applyFont="1" applyFill="1" applyBorder="1"/>
    <xf numFmtId="0" fontId="31" fillId="0" borderId="0" xfId="25" applyFont="1" applyFill="1" applyBorder="1" applyAlignment="1">
      <alignment vertical="center" wrapText="1"/>
    </xf>
    <xf numFmtId="49" fontId="31" fillId="0" borderId="384" xfId="40" applyNumberFormat="1" applyFont="1" applyFill="1" applyBorder="1" applyAlignment="1">
      <alignment horizontal="center"/>
    </xf>
    <xf numFmtId="49" fontId="31" fillId="0" borderId="384" xfId="40" applyNumberFormat="1" applyFont="1" applyFill="1" applyBorder="1" applyAlignment="1">
      <alignment horizontal="center" vertical="center" wrapText="1"/>
    </xf>
    <xf numFmtId="0" fontId="41" fillId="0" borderId="0" xfId="33" applyFont="1" applyFill="1" applyBorder="1" applyAlignment="1">
      <alignment horizontal="center" wrapText="1"/>
    </xf>
    <xf numFmtId="0" fontId="26" fillId="0" borderId="0" xfId="22" applyFont="1" applyFill="1" applyBorder="1" applyAlignment="1">
      <alignment wrapText="1"/>
    </xf>
    <xf numFmtId="3" fontId="16" fillId="0" borderId="0" xfId="22" applyNumberFormat="1" applyFont="1" applyBorder="1" applyAlignment="1">
      <alignment horizontal="center"/>
    </xf>
    <xf numFmtId="49" fontId="31" fillId="0" borderId="0" xfId="40" applyNumberFormat="1" applyFont="1" applyFill="1" applyBorder="1" applyAlignment="1">
      <alignment horizontal="center"/>
    </xf>
    <xf numFmtId="3" fontId="11" fillId="0" borderId="0" xfId="40" applyNumberFormat="1" applyFont="1" applyFill="1" applyBorder="1" applyAlignment="1">
      <alignment vertical="center" wrapText="1"/>
    </xf>
    <xf numFmtId="3" fontId="11" fillId="0" borderId="0" xfId="40" applyNumberFormat="1" applyFont="1" applyFill="1" applyBorder="1" applyProtection="1"/>
    <xf numFmtId="3" fontId="31" fillId="0" borderId="384" xfId="40" applyNumberFormat="1" applyFont="1" applyFill="1" applyBorder="1" applyAlignment="1">
      <alignment horizontal="center"/>
    </xf>
    <xf numFmtId="3" fontId="31" fillId="0" borderId="384" xfId="40" applyNumberFormat="1" applyFont="1" applyBorder="1" applyAlignment="1">
      <alignment vertical="center" wrapText="1"/>
    </xf>
    <xf numFmtId="4" fontId="12" fillId="0" borderId="384" xfId="40" applyNumberFormat="1" applyFont="1" applyFill="1" applyBorder="1" applyAlignment="1">
      <alignment horizontal="right"/>
    </xf>
    <xf numFmtId="3" fontId="31" fillId="0" borderId="384" xfId="40" applyNumberFormat="1" applyFont="1" applyFill="1" applyBorder="1"/>
    <xf numFmtId="3" fontId="12" fillId="0" borderId="384" xfId="40" applyNumberFormat="1" applyFont="1" applyFill="1" applyBorder="1" applyAlignment="1"/>
    <xf numFmtId="3" fontId="41" fillId="0" borderId="384" xfId="40" applyNumberFormat="1" applyFont="1" applyFill="1" applyBorder="1" applyAlignment="1">
      <alignment vertical="center" wrapText="1"/>
    </xf>
    <xf numFmtId="4" fontId="11" fillId="0" borderId="384" xfId="40" applyNumberFormat="1" applyFont="1" applyFill="1" applyBorder="1" applyAlignment="1">
      <alignment horizontal="right"/>
    </xf>
    <xf numFmtId="3" fontId="11" fillId="0" borderId="384" xfId="40" applyNumberFormat="1" applyFont="1" applyFill="1" applyBorder="1" applyAlignment="1"/>
    <xf numFmtId="40" fontId="179" fillId="0" borderId="0" xfId="79" applyNumberFormat="1" applyFont="1" applyFill="1" applyBorder="1" applyAlignment="1"/>
    <xf numFmtId="40" fontId="26" fillId="0" borderId="0" xfId="79" applyNumberFormat="1" applyFont="1" applyFill="1" applyBorder="1" applyAlignment="1"/>
    <xf numFmtId="0" fontId="16" fillId="0" borderId="0" xfId="22" applyFont="1" applyFill="1" applyBorder="1"/>
    <xf numFmtId="0" fontId="11" fillId="0" borderId="0" xfId="22" applyFont="1" applyFill="1" applyBorder="1" applyAlignment="1"/>
    <xf numFmtId="0" fontId="41" fillId="0" borderId="0" xfId="22" applyFont="1" applyFill="1" applyBorder="1"/>
    <xf numFmtId="0" fontId="41" fillId="0" borderId="0" xfId="25" applyFont="1" applyFill="1" applyBorder="1" applyAlignment="1" applyProtection="1">
      <alignment vertical="center"/>
    </xf>
    <xf numFmtId="0" fontId="56" fillId="0" borderId="265" xfId="25" applyFont="1" applyFill="1" applyBorder="1" applyAlignment="1" applyProtection="1">
      <alignment horizontal="center" vertical="center" wrapText="1"/>
    </xf>
    <xf numFmtId="3" fontId="56" fillId="0" borderId="99" xfId="25" applyNumberFormat="1" applyFont="1" applyFill="1" applyBorder="1" applyAlignment="1" applyProtection="1">
      <alignment vertical="center" wrapText="1"/>
    </xf>
    <xf numFmtId="3" fontId="56" fillId="0" borderId="398" xfId="25" applyNumberFormat="1" applyFont="1" applyFill="1" applyBorder="1" applyAlignment="1" applyProtection="1">
      <alignment vertical="center" wrapText="1"/>
    </xf>
    <xf numFmtId="3" fontId="74" fillId="0" borderId="398" xfId="25" applyNumberFormat="1" applyFont="1" applyFill="1" applyBorder="1" applyAlignment="1">
      <alignment vertical="center" wrapText="1"/>
    </xf>
    <xf numFmtId="3" fontId="56" fillId="0" borderId="398" xfId="25" applyNumberFormat="1" applyFont="1" applyFill="1" applyBorder="1" applyAlignment="1">
      <alignment vertical="center" wrapText="1"/>
    </xf>
    <xf numFmtId="3" fontId="75" fillId="0" borderId="398" xfId="25" applyNumberFormat="1" applyFont="1" applyFill="1" applyBorder="1" applyAlignment="1">
      <alignment vertical="center" wrapText="1"/>
    </xf>
    <xf numFmtId="3" fontId="74" fillId="0" borderId="385" xfId="25" applyNumberFormat="1" applyFont="1" applyFill="1" applyBorder="1" applyAlignment="1">
      <alignment vertical="center" wrapText="1"/>
    </xf>
    <xf numFmtId="3" fontId="79" fillId="0" borderId="230" xfId="25" applyNumberFormat="1" applyFont="1" applyFill="1" applyBorder="1" applyAlignment="1">
      <alignment vertical="center" wrapText="1"/>
    </xf>
    <xf numFmtId="3" fontId="41" fillId="0" borderId="398" xfId="25" applyNumberFormat="1" applyFont="1" applyFill="1" applyBorder="1" applyAlignment="1">
      <alignment vertical="center" wrapText="1"/>
    </xf>
    <xf numFmtId="3" fontId="11" fillId="0" borderId="398" xfId="0" applyNumberFormat="1" applyFont="1" applyFill="1" applyBorder="1" applyAlignment="1">
      <alignment horizontal="left" vertical="center" wrapText="1"/>
    </xf>
    <xf numFmtId="3" fontId="11" fillId="0" borderId="385" xfId="0" applyNumberFormat="1" applyFont="1" applyFill="1" applyBorder="1" applyAlignment="1">
      <alignment horizontal="left" vertical="center" wrapText="1"/>
    </xf>
    <xf numFmtId="3" fontId="24" fillId="0" borderId="230" xfId="0" applyNumberFormat="1" applyFont="1" applyFill="1" applyBorder="1" applyAlignment="1" applyProtection="1">
      <alignment horizontal="left" vertical="center" wrapText="1"/>
    </xf>
    <xf numFmtId="3" fontId="72" fillId="0" borderId="398" xfId="0" applyNumberFormat="1" applyFont="1" applyFill="1" applyBorder="1" applyAlignment="1">
      <alignment horizontal="left" vertical="center" wrapText="1"/>
    </xf>
    <xf numFmtId="3" fontId="31" fillId="0" borderId="398" xfId="25" applyNumberFormat="1" applyFont="1" applyFill="1" applyBorder="1" applyAlignment="1">
      <alignment vertical="center" wrapText="1"/>
    </xf>
    <xf numFmtId="3" fontId="12" fillId="0" borderId="398" xfId="25" applyNumberFormat="1" applyFont="1" applyFill="1" applyBorder="1" applyAlignment="1" applyProtection="1">
      <alignment vertical="center" wrapText="1"/>
    </xf>
    <xf numFmtId="3" fontId="31" fillId="0" borderId="398" xfId="25" applyNumberFormat="1" applyFont="1" applyFill="1" applyBorder="1" applyAlignment="1" applyProtection="1">
      <alignment vertical="center" wrapText="1"/>
    </xf>
    <xf numFmtId="49" fontId="74" fillId="0" borderId="398" xfId="25" applyNumberFormat="1" applyFont="1" applyFill="1" applyBorder="1" applyAlignment="1">
      <alignment vertical="center" wrapText="1"/>
    </xf>
    <xf numFmtId="0" fontId="74" fillId="0" borderId="398" xfId="25" applyFont="1" applyFill="1" applyBorder="1" applyAlignment="1">
      <alignment vertical="center" wrapText="1"/>
    </xf>
    <xf numFmtId="3" fontId="133" fillId="0" borderId="398" xfId="25" applyNumberFormat="1" applyFont="1" applyFill="1" applyBorder="1" applyAlignment="1">
      <alignment vertical="center" wrapText="1"/>
    </xf>
    <xf numFmtId="4" fontId="133" fillId="0" borderId="398" xfId="25" applyNumberFormat="1" applyFont="1" applyFill="1" applyBorder="1" applyAlignment="1">
      <alignment vertical="center" wrapText="1"/>
    </xf>
    <xf numFmtId="4" fontId="74" fillId="0" borderId="398" xfId="25" applyNumberFormat="1" applyFont="1" applyFill="1" applyBorder="1" applyAlignment="1">
      <alignment horizontal="left" vertical="center" wrapText="1"/>
    </xf>
    <xf numFmtId="40" fontId="74" fillId="0" borderId="398" xfId="25" applyNumberFormat="1" applyFont="1" applyFill="1" applyBorder="1" applyAlignment="1">
      <alignment vertical="center" wrapText="1"/>
    </xf>
    <xf numFmtId="40" fontId="74" fillId="0" borderId="385" xfId="0" applyNumberFormat="1" applyFont="1" applyFill="1" applyBorder="1" applyAlignment="1">
      <alignment vertical="center" wrapText="1"/>
    </xf>
    <xf numFmtId="40" fontId="74" fillId="0" borderId="230" xfId="25" applyNumberFormat="1" applyFont="1" applyFill="1" applyBorder="1" applyAlignment="1">
      <alignment vertical="center" wrapText="1"/>
    </xf>
    <xf numFmtId="170" fontId="79" fillId="0" borderId="398" xfId="25" applyNumberFormat="1" applyFont="1" applyFill="1" applyBorder="1" applyAlignment="1">
      <alignment vertical="center" wrapText="1"/>
    </xf>
    <xf numFmtId="40" fontId="79" fillId="0" borderId="398" xfId="25" applyNumberFormat="1" applyFont="1" applyFill="1" applyBorder="1" applyAlignment="1">
      <alignment vertical="center" wrapText="1"/>
    </xf>
    <xf numFmtId="3" fontId="72" fillId="0" borderId="398" xfId="25" applyNumberFormat="1" applyFont="1" applyFill="1" applyBorder="1" applyAlignment="1">
      <alignment vertical="center" wrapText="1"/>
    </xf>
    <xf numFmtId="3" fontId="72" fillId="0" borderId="398" xfId="25" applyNumberFormat="1" applyFont="1" applyFill="1" applyBorder="1" applyAlignment="1">
      <alignment horizontal="left" vertical="center" wrapText="1"/>
    </xf>
    <xf numFmtId="40" fontId="123" fillId="0" borderId="398" xfId="0" applyNumberFormat="1" applyFont="1" applyFill="1" applyBorder="1" applyAlignment="1">
      <alignment vertical="center" wrapText="1"/>
    </xf>
    <xf numFmtId="40" fontId="11" fillId="0" borderId="398" xfId="0" applyNumberFormat="1" applyFont="1" applyFill="1" applyBorder="1" applyAlignment="1">
      <alignment vertical="center" wrapText="1"/>
    </xf>
    <xf numFmtId="40" fontId="133" fillId="0" borderId="398" xfId="25" applyNumberFormat="1" applyFont="1" applyFill="1" applyBorder="1" applyAlignment="1">
      <alignment vertical="center" wrapText="1"/>
    </xf>
    <xf numFmtId="40" fontId="72" fillId="0" borderId="230" xfId="25" applyNumberFormat="1" applyFont="1" applyFill="1" applyBorder="1" applyAlignment="1">
      <alignment vertical="center" wrapText="1"/>
    </xf>
    <xf numFmtId="40" fontId="74" fillId="0" borderId="398" xfId="25" applyNumberFormat="1" applyFont="1" applyFill="1" applyBorder="1" applyAlignment="1">
      <alignment wrapText="1"/>
    </xf>
    <xf numFmtId="3" fontId="79" fillId="0" borderId="385" xfId="25" applyNumberFormat="1" applyFont="1" applyFill="1" applyBorder="1" applyAlignment="1">
      <alignment vertical="center" wrapText="1"/>
    </xf>
    <xf numFmtId="0" fontId="17" fillId="0" borderId="0" xfId="25" applyFont="1" applyFill="1" applyBorder="1" applyAlignment="1" applyProtection="1">
      <alignment horizontal="center" vertical="center"/>
    </xf>
    <xf numFmtId="0" fontId="31" fillId="0" borderId="0" xfId="0" applyFont="1"/>
    <xf numFmtId="3" fontId="31" fillId="0" borderId="398" xfId="0" applyNumberFormat="1" applyFont="1" applyFill="1" applyBorder="1" applyAlignment="1">
      <alignment horizontal="left" vertical="center" wrapText="1"/>
    </xf>
    <xf numFmtId="49" fontId="23" fillId="0" borderId="384" xfId="0" applyNumberFormat="1" applyFont="1" applyFill="1" applyBorder="1" applyAlignment="1">
      <alignment vertical="center"/>
    </xf>
    <xf numFmtId="3" fontId="23" fillId="0" borderId="384" xfId="25" applyNumberFormat="1" applyFont="1" applyFill="1" applyBorder="1" applyAlignment="1">
      <alignment vertical="center"/>
    </xf>
    <xf numFmtId="3" fontId="56" fillId="0" borderId="398" xfId="0" applyNumberFormat="1" applyFont="1" applyFill="1" applyBorder="1" applyAlignment="1" applyProtection="1">
      <alignment vertical="center" wrapText="1"/>
    </xf>
    <xf numFmtId="3" fontId="24" fillId="0" borderId="398" xfId="0" applyNumberFormat="1" applyFont="1" applyFill="1" applyBorder="1" applyAlignment="1">
      <alignment horizontal="left" vertical="center" wrapText="1"/>
    </xf>
    <xf numFmtId="3" fontId="56" fillId="0" borderId="398" xfId="0" applyNumberFormat="1" applyFont="1" applyFill="1" applyBorder="1" applyAlignment="1" applyProtection="1">
      <alignment horizontal="left" vertical="center" wrapText="1"/>
    </xf>
    <xf numFmtId="3" fontId="124" fillId="0" borderId="398" xfId="0" applyNumberFormat="1" applyFont="1" applyFill="1" applyBorder="1" applyAlignment="1">
      <alignment vertical="center" wrapText="1"/>
    </xf>
    <xf numFmtId="3" fontId="244" fillId="0" borderId="384" xfId="0" applyNumberFormat="1" applyFont="1" applyFill="1" applyBorder="1" applyAlignment="1">
      <alignment vertical="center"/>
    </xf>
    <xf numFmtId="49" fontId="31" fillId="0" borderId="398" xfId="0" applyNumberFormat="1" applyFont="1" applyFill="1" applyBorder="1" applyAlignment="1">
      <alignment vertical="center" wrapText="1"/>
    </xf>
    <xf numFmtId="2" fontId="31" fillId="0" borderId="384" xfId="0" applyNumberFormat="1" applyFont="1" applyFill="1" applyBorder="1" applyAlignment="1">
      <alignment vertical="center"/>
    </xf>
    <xf numFmtId="170" fontId="56" fillId="0" borderId="398" xfId="0" applyNumberFormat="1" applyFont="1" applyFill="1" applyBorder="1" applyAlignment="1">
      <alignment vertical="center" wrapText="1"/>
    </xf>
    <xf numFmtId="40" fontId="124" fillId="0" borderId="398" xfId="0" applyNumberFormat="1" applyFont="1" applyFill="1" applyBorder="1" applyAlignment="1">
      <alignment vertical="center" wrapText="1"/>
    </xf>
    <xf numFmtId="3" fontId="187" fillId="0" borderId="384" xfId="0" applyNumberFormat="1" applyFont="1" applyFill="1" applyBorder="1" applyAlignment="1" applyProtection="1">
      <alignment horizontal="right" vertical="center"/>
    </xf>
    <xf numFmtId="3" fontId="187" fillId="0" borderId="387" xfId="0" applyNumberFormat="1" applyFont="1" applyFill="1" applyBorder="1" applyAlignment="1" applyProtection="1">
      <alignment horizontal="right" vertical="center"/>
    </xf>
    <xf numFmtId="40" fontId="31" fillId="0" borderId="398" xfId="0" applyNumberFormat="1" applyFont="1" applyFill="1" applyBorder="1" applyAlignment="1">
      <alignment vertical="center" wrapText="1"/>
    </xf>
    <xf numFmtId="3" fontId="24" fillId="0" borderId="398" xfId="25" applyNumberFormat="1" applyFont="1" applyFill="1" applyBorder="1" applyAlignment="1">
      <alignment horizontal="left" vertical="center" wrapText="1"/>
    </xf>
    <xf numFmtId="3" fontId="31" fillId="0" borderId="385" xfId="0" applyNumberFormat="1" applyFont="1" applyFill="1" applyBorder="1" applyAlignment="1">
      <alignment vertical="center" wrapText="1"/>
    </xf>
    <xf numFmtId="3" fontId="23" fillId="0" borderId="386" xfId="0" applyNumberFormat="1" applyFont="1" applyFill="1" applyBorder="1" applyAlignment="1">
      <alignment vertical="center"/>
    </xf>
    <xf numFmtId="3" fontId="26" fillId="0" borderId="386" xfId="0" applyNumberFormat="1" applyFont="1" applyFill="1" applyBorder="1" applyAlignment="1" applyProtection="1">
      <alignment horizontal="right" vertical="center"/>
      <protection locked="0"/>
    </xf>
    <xf numFmtId="3" fontId="26" fillId="0" borderId="388" xfId="0" applyNumberFormat="1" applyFont="1" applyFill="1" applyBorder="1" applyAlignment="1" applyProtection="1">
      <alignment horizontal="right" vertical="center"/>
      <protection locked="0"/>
    </xf>
    <xf numFmtId="0" fontId="56" fillId="0" borderId="230" xfId="0" applyFont="1" applyFill="1" applyBorder="1" applyAlignment="1">
      <alignment vertical="center" wrapText="1"/>
    </xf>
    <xf numFmtId="2" fontId="23" fillId="0" borderId="297" xfId="0" applyNumberFormat="1" applyFont="1" applyFill="1" applyBorder="1" applyAlignment="1">
      <alignment vertical="center"/>
    </xf>
    <xf numFmtId="2" fontId="16" fillId="0" borderId="0" xfId="25" applyNumberFormat="1" applyFont="1" applyFill="1" applyAlignment="1" applyProtection="1">
      <alignment horizontal="left" vertical="center"/>
    </xf>
    <xf numFmtId="2" fontId="16" fillId="0" borderId="0" xfId="25" applyNumberFormat="1" applyFont="1" applyFill="1" applyAlignment="1" applyProtection="1">
      <alignment horizontal="left"/>
    </xf>
    <xf numFmtId="0" fontId="11" fillId="0" borderId="0" xfId="25" applyFill="1" applyBorder="1" applyAlignment="1" applyProtection="1">
      <alignment horizontal="left" vertical="center"/>
    </xf>
    <xf numFmtId="0" fontId="23" fillId="0" borderId="158" xfId="25" applyFont="1" applyFill="1" applyBorder="1" applyAlignment="1" applyProtection="1">
      <alignment horizontal="center" vertical="center" wrapText="1"/>
    </xf>
    <xf numFmtId="0" fontId="23" fillId="0" borderId="370" xfId="25" applyFont="1" applyFill="1" applyBorder="1" applyAlignment="1" applyProtection="1">
      <alignment horizontal="center" vertical="center" wrapText="1"/>
    </xf>
    <xf numFmtId="0" fontId="115" fillId="0" borderId="370" xfId="25" applyFont="1" applyFill="1" applyBorder="1" applyAlignment="1" applyProtection="1">
      <alignment horizontal="center" vertical="center" wrapText="1"/>
    </xf>
    <xf numFmtId="0" fontId="23" fillId="0" borderId="370" xfId="25" applyFont="1" applyFill="1" applyBorder="1" applyAlignment="1" applyProtection="1">
      <alignment horizontal="center" vertical="center"/>
    </xf>
    <xf numFmtId="0" fontId="23" fillId="0" borderId="371" xfId="25" applyFont="1" applyFill="1" applyBorder="1" applyAlignment="1" applyProtection="1">
      <alignment horizontal="center" vertical="center" wrapText="1"/>
    </xf>
    <xf numFmtId="3" fontId="56" fillId="0" borderId="384" xfId="0" applyNumberFormat="1" applyFont="1" applyFill="1" applyBorder="1" applyAlignment="1" applyProtection="1">
      <alignment vertical="center" wrapText="1"/>
    </xf>
    <xf numFmtId="2" fontId="16" fillId="0" borderId="0" xfId="25" applyNumberFormat="1" applyFont="1" applyFill="1" applyAlignment="1" applyProtection="1"/>
    <xf numFmtId="0" fontId="41" fillId="0" borderId="0" xfId="25" applyFont="1" applyFill="1" applyBorder="1" applyProtection="1"/>
    <xf numFmtId="0" fontId="41" fillId="0" borderId="386" xfId="25" applyFont="1" applyFill="1" applyBorder="1" applyAlignment="1" applyProtection="1">
      <alignment horizontal="center" vertical="center" wrapText="1"/>
    </xf>
    <xf numFmtId="0" fontId="23" fillId="0" borderId="158" xfId="25" applyFont="1" applyFill="1" applyBorder="1" applyAlignment="1" applyProtection="1">
      <alignment horizontal="center" vertical="top" wrapText="1"/>
    </xf>
    <xf numFmtId="0" fontId="23" fillId="0" borderId="370" xfId="25" applyFont="1" applyFill="1" applyBorder="1" applyAlignment="1" applyProtection="1">
      <alignment horizontal="center" vertical="top" wrapText="1"/>
    </xf>
    <xf numFmtId="0" fontId="115" fillId="0" borderId="370" xfId="25" applyFont="1" applyFill="1" applyBorder="1" applyAlignment="1" applyProtection="1">
      <alignment horizontal="center" vertical="top" wrapText="1"/>
    </xf>
    <xf numFmtId="0" fontId="23" fillId="0" borderId="370" xfId="25" applyFont="1" applyFill="1" applyBorder="1" applyAlignment="1" applyProtection="1">
      <alignment horizontal="center" vertical="top"/>
    </xf>
    <xf numFmtId="0" fontId="23" fillId="0" borderId="371" xfId="25" applyFont="1" applyFill="1" applyBorder="1" applyAlignment="1" applyProtection="1">
      <alignment horizontal="center" vertical="top" wrapText="1"/>
    </xf>
    <xf numFmtId="3" fontId="24" fillId="0" borderId="384" xfId="0" applyNumberFormat="1" applyFont="1" applyFill="1" applyBorder="1" applyAlignment="1">
      <alignment horizontal="center" vertical="center"/>
    </xf>
    <xf numFmtId="3" fontId="40" fillId="12" borderId="384" xfId="0" applyNumberFormat="1" applyFont="1" applyFill="1" applyBorder="1" applyAlignment="1" applyProtection="1">
      <alignment horizontal="right" vertical="center"/>
    </xf>
    <xf numFmtId="3" fontId="48" fillId="0" borderId="384" xfId="0" applyNumberFormat="1" applyFont="1" applyFill="1" applyBorder="1" applyAlignment="1">
      <alignment horizontal="center" vertical="center"/>
    </xf>
    <xf numFmtId="3" fontId="61" fillId="12" borderId="384" xfId="0" applyNumberFormat="1" applyFont="1" applyFill="1" applyBorder="1" applyAlignment="1" applyProtection="1">
      <alignment horizontal="right" vertical="center"/>
    </xf>
    <xf numFmtId="3" fontId="153" fillId="0" borderId="331" xfId="0" applyNumberFormat="1" applyFont="1" applyFill="1" applyBorder="1" applyAlignment="1">
      <alignment vertical="center" wrapText="1"/>
    </xf>
    <xf numFmtId="3" fontId="176" fillId="0" borderId="388" xfId="0" applyNumberFormat="1" applyFont="1" applyFill="1" applyBorder="1" applyAlignment="1">
      <alignment vertical="center" wrapText="1"/>
    </xf>
    <xf numFmtId="3" fontId="59" fillId="0" borderId="297" xfId="22" applyNumberFormat="1" applyFont="1" applyBorder="1" applyAlignment="1" applyProtection="1">
      <alignment horizontal="right" vertical="center"/>
    </xf>
    <xf numFmtId="3" fontId="59" fillId="0" borderId="297" xfId="22" applyNumberFormat="1" applyFont="1" applyBorder="1" applyAlignment="1" applyProtection="1">
      <alignment horizontal="right" vertical="center"/>
      <protection locked="0"/>
    </xf>
    <xf numFmtId="3" fontId="59" fillId="0" borderId="298" xfId="22" applyNumberFormat="1" applyFont="1" applyBorder="1" applyAlignment="1" applyProtection="1">
      <alignment horizontal="right" vertical="center"/>
    </xf>
    <xf numFmtId="4" fontId="12" fillId="0" borderId="385" xfId="0" applyNumberFormat="1" applyFont="1" applyFill="1" applyBorder="1" applyAlignment="1">
      <alignment vertical="center" wrapText="1"/>
    </xf>
    <xf numFmtId="2" fontId="17" fillId="0" borderId="0" xfId="38" applyNumberFormat="1" applyFont="1" applyFill="1" applyBorder="1" applyAlignment="1" applyProtection="1">
      <alignment horizontal="left" vertical="center"/>
      <protection locked="0"/>
    </xf>
    <xf numFmtId="0" fontId="226" fillId="0" borderId="398" xfId="38" applyFont="1" applyFill="1" applyBorder="1" applyAlignment="1" applyProtection="1">
      <alignment vertical="center" wrapText="1"/>
    </xf>
    <xf numFmtId="3" fontId="84" fillId="0" borderId="387" xfId="38" applyNumberFormat="1" applyFont="1" applyFill="1" applyBorder="1" applyAlignment="1" applyProtection="1">
      <alignment vertical="center"/>
    </xf>
    <xf numFmtId="0" fontId="107" fillId="0" borderId="398" xfId="38" applyFont="1" applyFill="1" applyBorder="1" applyAlignment="1" applyProtection="1">
      <alignment vertical="center" wrapText="1"/>
    </xf>
    <xf numFmtId="3" fontId="76" fillId="0" borderId="387" xfId="38" applyNumberFormat="1" applyFont="1" applyFill="1" applyBorder="1" applyAlignment="1" applyProtection="1">
      <alignment vertical="center"/>
      <protection locked="0"/>
    </xf>
    <xf numFmtId="0" fontId="109" fillId="0" borderId="398" xfId="38" applyFont="1" applyFill="1" applyBorder="1" applyAlignment="1" applyProtection="1">
      <alignment vertical="center" wrapText="1"/>
    </xf>
    <xf numFmtId="3" fontId="73" fillId="0" borderId="387" xfId="38" applyNumberFormat="1" applyFont="1" applyFill="1" applyBorder="1" applyAlignment="1" applyProtection="1">
      <alignment vertical="center"/>
      <protection locked="0"/>
    </xf>
    <xf numFmtId="0" fontId="229" fillId="0" borderId="398" xfId="38" applyFont="1" applyFill="1" applyBorder="1" applyAlignment="1" applyProtection="1">
      <alignment vertical="center" wrapText="1"/>
    </xf>
    <xf numFmtId="3" fontId="84" fillId="0" borderId="387" xfId="38" applyNumberFormat="1" applyFont="1" applyFill="1" applyBorder="1" applyAlignment="1" applyProtection="1">
      <alignment vertical="center"/>
      <protection locked="0"/>
    </xf>
    <xf numFmtId="0" fontId="107" fillId="0" borderId="385" xfId="38" applyFont="1" applyFill="1" applyBorder="1" applyAlignment="1" applyProtection="1">
      <alignment vertical="center" wrapText="1"/>
    </xf>
    <xf numFmtId="3" fontId="76" fillId="0" borderId="388" xfId="38" applyNumberFormat="1" applyFont="1" applyFill="1" applyBorder="1" applyAlignment="1" applyProtection="1">
      <alignment vertical="center"/>
      <protection locked="0"/>
    </xf>
    <xf numFmtId="0" fontId="107" fillId="0" borderId="230" xfId="38" applyFont="1" applyFill="1" applyBorder="1" applyAlignment="1" applyProtection="1">
      <alignment vertical="center" wrapText="1"/>
    </xf>
    <xf numFmtId="3" fontId="76" fillId="0" borderId="298" xfId="38" applyNumberFormat="1" applyFont="1" applyFill="1" applyBorder="1" applyAlignment="1" applyProtection="1">
      <alignment vertical="center"/>
      <protection locked="0"/>
    </xf>
    <xf numFmtId="0" fontId="151" fillId="0" borderId="398" xfId="38" applyFont="1" applyFill="1" applyBorder="1" applyAlignment="1" applyProtection="1">
      <alignment vertical="center" wrapText="1"/>
    </xf>
    <xf numFmtId="0" fontId="226" fillId="0" borderId="230" xfId="38" applyFont="1" applyFill="1" applyBorder="1" applyAlignment="1" applyProtection="1">
      <alignment vertical="center" wrapText="1"/>
    </xf>
    <xf numFmtId="0" fontId="247" fillId="0" borderId="0" xfId="38" applyFont="1" applyFill="1" applyAlignment="1" applyProtection="1">
      <alignment horizontal="center" vertical="center" wrapText="1"/>
    </xf>
    <xf numFmtId="0" fontId="239" fillId="0" borderId="0" xfId="38" applyFont="1" applyFill="1" applyAlignment="1" applyProtection="1">
      <alignment horizontal="center" vertical="center" wrapText="1"/>
    </xf>
    <xf numFmtId="0" fontId="107" fillId="0" borderId="0" xfId="38" applyFont="1" applyFill="1" applyBorder="1" applyAlignment="1" applyProtection="1">
      <alignment vertical="center" wrapText="1"/>
    </xf>
    <xf numFmtId="3" fontId="76" fillId="0" borderId="0" xfId="38" applyNumberFormat="1" applyFont="1" applyFill="1" applyBorder="1" applyAlignment="1" applyProtection="1">
      <alignment vertical="center"/>
      <protection locked="0"/>
    </xf>
    <xf numFmtId="0" fontId="248" fillId="0" borderId="0" xfId="38" applyFont="1" applyFill="1" applyAlignment="1" applyProtection="1">
      <alignment horizontal="center" vertical="center" wrapText="1"/>
    </xf>
    <xf numFmtId="49" fontId="89" fillId="0" borderId="158" xfId="38" applyNumberFormat="1" applyFont="1" applyFill="1" applyBorder="1" applyAlignment="1" applyProtection="1">
      <alignment horizontal="center" vertical="center" wrapText="1"/>
    </xf>
    <xf numFmtId="0" fontId="246" fillId="0" borderId="371" xfId="38" applyFont="1" applyFill="1" applyBorder="1" applyAlignment="1" applyProtection="1">
      <alignment horizontal="center" vertical="center" wrapText="1"/>
    </xf>
    <xf numFmtId="3" fontId="31" fillId="0" borderId="298" xfId="38" applyNumberFormat="1" applyFont="1" applyFill="1" applyBorder="1" applyAlignment="1" applyProtection="1">
      <alignment horizontal="right" vertical="center" wrapText="1"/>
    </xf>
    <xf numFmtId="0" fontId="245" fillId="0" borderId="158" xfId="38" applyFont="1" applyFill="1" applyBorder="1" applyAlignment="1" applyProtection="1">
      <alignment horizontal="center" vertical="center" wrapText="1"/>
    </xf>
    <xf numFmtId="0" fontId="245" fillId="0" borderId="371" xfId="38" applyFont="1" applyFill="1" applyBorder="1" applyAlignment="1" applyProtection="1">
      <alignment horizontal="center" vertical="center" wrapText="1"/>
    </xf>
    <xf numFmtId="0" fontId="14" fillId="0" borderId="0" xfId="38" applyFill="1" applyAlignment="1" applyProtection="1">
      <alignment horizontal="right" vertical="center"/>
    </xf>
    <xf numFmtId="0" fontId="19" fillId="0" borderId="99" xfId="0" applyFont="1" applyBorder="1" applyAlignment="1" applyProtection="1">
      <alignment horizontal="center" vertical="center" wrapText="1"/>
    </xf>
    <xf numFmtId="0" fontId="21" fillId="0" borderId="100" xfId="0" applyFont="1" applyBorder="1" applyAlignment="1" applyProtection="1">
      <alignment vertical="center" wrapText="1"/>
    </xf>
    <xf numFmtId="0" fontId="21" fillId="0" borderId="100" xfId="0" applyFont="1" applyFill="1" applyBorder="1" applyAlignment="1" applyProtection="1">
      <alignment horizontal="center" vertical="center" wrapText="1"/>
    </xf>
    <xf numFmtId="3" fontId="13" fillId="0" borderId="100" xfId="0" applyNumberFormat="1" applyFont="1" applyFill="1" applyBorder="1" applyAlignment="1" applyProtection="1">
      <alignment horizontal="center" vertical="center" wrapText="1"/>
    </xf>
    <xf numFmtId="3" fontId="13" fillId="0" borderId="102" xfId="0" applyNumberFormat="1" applyFont="1" applyFill="1" applyBorder="1" applyAlignment="1" applyProtection="1">
      <alignment horizontal="center" vertical="center" wrapText="1"/>
    </xf>
    <xf numFmtId="0" fontId="19" fillId="0" borderId="398" xfId="0" applyFont="1" applyBorder="1" applyAlignment="1" applyProtection="1">
      <alignment horizontal="center" vertical="center" wrapText="1"/>
    </xf>
    <xf numFmtId="0" fontId="21" fillId="0" borderId="384" xfId="0" applyFont="1" applyBorder="1" applyAlignment="1" applyProtection="1">
      <alignment vertical="center" wrapText="1"/>
    </xf>
    <xf numFmtId="0" fontId="21" fillId="0" borderId="384" xfId="0" applyFont="1" applyFill="1" applyBorder="1" applyAlignment="1" applyProtection="1">
      <alignment horizontal="center" vertical="center" wrapText="1"/>
    </xf>
    <xf numFmtId="3" fontId="13" fillId="0" borderId="384" xfId="0" applyNumberFormat="1" applyFont="1" applyFill="1" applyBorder="1" applyAlignment="1" applyProtection="1">
      <alignment horizontal="center" vertical="center" wrapText="1"/>
    </xf>
    <xf numFmtId="3" fontId="13" fillId="0" borderId="387" xfId="0" applyNumberFormat="1" applyFont="1" applyFill="1" applyBorder="1" applyAlignment="1" applyProtection="1">
      <alignment horizontal="center" vertical="center" wrapText="1"/>
    </xf>
    <xf numFmtId="0" fontId="21" fillId="0" borderId="384" xfId="0" applyFont="1" applyFill="1" applyBorder="1" applyAlignment="1" applyProtection="1">
      <alignment vertical="center" wrapText="1"/>
    </xf>
    <xf numFmtId="3" fontId="13" fillId="0" borderId="384" xfId="0" applyNumberFormat="1" applyFont="1" applyFill="1" applyBorder="1" applyAlignment="1" applyProtection="1">
      <alignment horizontal="right" vertical="center" wrapText="1"/>
      <protection locked="0"/>
    </xf>
    <xf numFmtId="3" fontId="13" fillId="0" borderId="387" xfId="0" applyNumberFormat="1" applyFont="1" applyFill="1" applyBorder="1" applyAlignment="1" applyProtection="1">
      <alignment horizontal="right" vertical="center" wrapText="1"/>
    </xf>
    <xf numFmtId="0" fontId="26" fillId="0" borderId="384" xfId="0" applyFont="1" applyFill="1" applyBorder="1" applyAlignment="1">
      <alignment vertical="top" wrapText="1"/>
    </xf>
    <xf numFmtId="0" fontId="16" fillId="0" borderId="384" xfId="0" applyFont="1" applyFill="1" applyBorder="1" applyAlignment="1">
      <alignment vertical="top" wrapText="1"/>
    </xf>
    <xf numFmtId="0" fontId="27" fillId="0" borderId="384" xfId="0" applyFont="1" applyFill="1" applyBorder="1" applyAlignment="1">
      <alignment vertical="top" wrapText="1"/>
    </xf>
    <xf numFmtId="3" fontId="29" fillId="0" borderId="384" xfId="0" applyNumberFormat="1" applyFont="1" applyFill="1" applyBorder="1" applyAlignment="1" applyProtection="1">
      <alignment horizontal="right" vertical="center" wrapText="1"/>
    </xf>
    <xf numFmtId="3" fontId="29" fillId="0" borderId="387" xfId="0" applyNumberFormat="1" applyFont="1" applyFill="1" applyBorder="1" applyAlignment="1" applyProtection="1">
      <alignment horizontal="right" vertical="center" wrapText="1"/>
    </xf>
    <xf numFmtId="49" fontId="20" fillId="0" borderId="384" xfId="0" applyNumberFormat="1" applyFont="1" applyFill="1" applyBorder="1" applyAlignment="1" applyProtection="1">
      <alignment horizontal="center" vertical="center" wrapText="1"/>
    </xf>
    <xf numFmtId="3" fontId="13" fillId="0" borderId="384" xfId="0" applyNumberFormat="1" applyFont="1" applyFill="1" applyBorder="1" applyAlignment="1" applyProtection="1">
      <alignment horizontal="right" vertical="center" wrapText="1"/>
    </xf>
    <xf numFmtId="0" fontId="21" fillId="0" borderId="384" xfId="56" applyFont="1" applyFill="1" applyBorder="1" applyAlignment="1" applyProtection="1">
      <alignment horizontal="center" vertical="center" wrapText="1"/>
    </xf>
    <xf numFmtId="0" fontId="21" fillId="0" borderId="384" xfId="56" applyFont="1" applyFill="1" applyBorder="1" applyAlignment="1" applyProtection="1">
      <alignment vertical="center" wrapText="1"/>
    </xf>
    <xf numFmtId="49" fontId="21" fillId="0" borderId="384" xfId="56" applyNumberFormat="1" applyFont="1" applyFill="1" applyBorder="1" applyAlignment="1" applyProtection="1">
      <alignment horizontal="center" vertical="center" wrapText="1"/>
    </xf>
    <xf numFmtId="3" fontId="13" fillId="0" borderId="387" xfId="0" applyNumberFormat="1" applyFont="1" applyFill="1" applyBorder="1" applyAlignment="1" applyProtection="1">
      <alignment vertical="center" wrapText="1"/>
    </xf>
    <xf numFmtId="0" fontId="31" fillId="0" borderId="384" xfId="56" applyFont="1" applyBorder="1" applyAlignment="1" applyProtection="1">
      <alignment horizontal="center" vertical="center" wrapText="1"/>
    </xf>
    <xf numFmtId="0" fontId="18" fillId="0" borderId="384" xfId="56" applyFont="1" applyFill="1" applyBorder="1" applyAlignment="1" applyProtection="1">
      <alignment vertical="center" wrapText="1"/>
    </xf>
    <xf numFmtId="49" fontId="31" fillId="0" borderId="384" xfId="56" applyNumberFormat="1" applyFont="1" applyBorder="1" applyAlignment="1" applyProtection="1">
      <alignment horizontal="center" vertical="center" wrapText="1"/>
    </xf>
    <xf numFmtId="49" fontId="21" fillId="0" borderId="384" xfId="0" applyNumberFormat="1" applyFont="1" applyFill="1" applyBorder="1" applyAlignment="1" applyProtection="1">
      <alignment horizontal="center" vertical="center" wrapText="1"/>
    </xf>
    <xf numFmtId="0" fontId="18" fillId="0" borderId="384" xfId="0" applyFont="1" applyFill="1" applyBorder="1" applyAlignment="1" applyProtection="1">
      <alignment vertical="center" wrapText="1"/>
    </xf>
    <xf numFmtId="3" fontId="17" fillId="0" borderId="384" xfId="0" applyNumberFormat="1" applyFont="1" applyFill="1" applyBorder="1" applyAlignment="1" applyProtection="1">
      <alignment horizontal="right" vertical="center" wrapText="1"/>
    </xf>
    <xf numFmtId="3" fontId="17" fillId="0" borderId="387" xfId="0" applyNumberFormat="1" applyFont="1" applyFill="1" applyBorder="1" applyAlignment="1" applyProtection="1">
      <alignment horizontal="right" vertical="center" wrapText="1"/>
    </xf>
    <xf numFmtId="3" fontId="29" fillId="0" borderId="384" xfId="0" applyNumberFormat="1" applyFont="1" applyFill="1" applyBorder="1" applyAlignment="1" applyProtection="1">
      <alignment horizontal="center" vertical="center" wrapText="1"/>
    </xf>
    <xf numFmtId="3" fontId="29" fillId="0" borderId="387" xfId="0" applyNumberFormat="1" applyFont="1" applyFill="1" applyBorder="1" applyAlignment="1" applyProtection="1">
      <alignment horizontal="center" vertical="center" wrapText="1"/>
    </xf>
    <xf numFmtId="0" fontId="19" fillId="0" borderId="385" xfId="0" applyFont="1" applyBorder="1" applyAlignment="1" applyProtection="1">
      <alignment horizontal="center" vertical="center" wrapText="1"/>
    </xf>
    <xf numFmtId="0" fontId="21" fillId="0" borderId="386" xfId="0" applyFont="1" applyFill="1" applyBorder="1" applyAlignment="1" applyProtection="1">
      <alignment vertical="center" wrapText="1"/>
    </xf>
    <xf numFmtId="0" fontId="21" fillId="0" borderId="386" xfId="0" applyFont="1" applyFill="1" applyBorder="1" applyAlignment="1" applyProtection="1">
      <alignment horizontal="center" vertical="center" wrapText="1"/>
    </xf>
    <xf numFmtId="3" fontId="29" fillId="0" borderId="386" xfId="0" applyNumberFormat="1" applyFont="1" applyFill="1" applyBorder="1" applyAlignment="1" applyProtection="1">
      <alignment horizontal="right" vertical="center" wrapText="1"/>
    </xf>
    <xf numFmtId="3" fontId="29" fillId="0" borderId="388" xfId="0" applyNumberFormat="1" applyFont="1" applyFill="1" applyBorder="1" applyAlignment="1" applyProtection="1">
      <alignment horizontal="right" vertical="center" wrapText="1"/>
    </xf>
    <xf numFmtId="0" fontId="19" fillId="0" borderId="230" xfId="0" applyFont="1" applyBorder="1" applyAlignment="1" applyProtection="1">
      <alignment horizontal="center" vertical="center" wrapText="1"/>
    </xf>
    <xf numFmtId="0" fontId="21" fillId="0" borderId="297" xfId="0" applyFont="1" applyFill="1" applyBorder="1" applyAlignment="1" applyProtection="1">
      <alignment vertical="center" wrapText="1"/>
    </xf>
    <xf numFmtId="0" fontId="21" fillId="0" borderId="297" xfId="0" applyFont="1" applyFill="1" applyBorder="1" applyAlignment="1" applyProtection="1">
      <alignment horizontal="center" vertical="center" wrapText="1"/>
    </xf>
    <xf numFmtId="3" fontId="13" fillId="0" borderId="297" xfId="0" applyNumberFormat="1" applyFont="1" applyFill="1" applyBorder="1" applyAlignment="1" applyProtection="1">
      <alignment horizontal="center" vertical="center" wrapText="1"/>
    </xf>
    <xf numFmtId="3" fontId="13" fillId="0" borderId="298" xfId="0" applyNumberFormat="1" applyFont="1" applyFill="1" applyBorder="1" applyAlignment="1" applyProtection="1">
      <alignment horizontal="center" vertical="center" wrapText="1"/>
    </xf>
    <xf numFmtId="0" fontId="26" fillId="0" borderId="386" xfId="0" applyFont="1" applyFill="1" applyBorder="1" applyAlignment="1">
      <alignment vertical="top" wrapText="1"/>
    </xf>
    <xf numFmtId="3" fontId="13" fillId="0" borderId="388" xfId="0" applyNumberFormat="1" applyFont="1" applyFill="1" applyBorder="1" applyAlignment="1" applyProtection="1">
      <alignment horizontal="right" vertical="center" wrapText="1"/>
    </xf>
    <xf numFmtId="0" fontId="16" fillId="0" borderId="297" xfId="0" applyNumberFormat="1" applyFont="1" applyFill="1" applyBorder="1" applyAlignment="1">
      <alignment vertical="top" wrapText="1"/>
    </xf>
    <xf numFmtId="3" fontId="13" fillId="0" borderId="297" xfId="0" applyNumberFormat="1" applyFont="1" applyFill="1" applyBorder="1" applyAlignment="1" applyProtection="1">
      <alignment horizontal="right" vertical="center" wrapText="1"/>
      <protection locked="0"/>
    </xf>
    <xf numFmtId="3" fontId="13" fillId="0" borderId="298" xfId="0" applyNumberFormat="1" applyFont="1" applyFill="1" applyBorder="1" applyAlignment="1" applyProtection="1">
      <alignment horizontal="right" vertical="center" wrapText="1"/>
    </xf>
    <xf numFmtId="0" fontId="26" fillId="0" borderId="386" xfId="0" applyNumberFormat="1" applyFont="1" applyFill="1" applyBorder="1" applyAlignment="1">
      <alignment vertical="top" wrapText="1"/>
    </xf>
    <xf numFmtId="49" fontId="19" fillId="0" borderId="297" xfId="0" applyNumberFormat="1" applyFont="1" applyFill="1" applyBorder="1" applyAlignment="1" applyProtection="1">
      <alignment vertical="center" wrapText="1"/>
    </xf>
    <xf numFmtId="3" fontId="13" fillId="0" borderId="297" xfId="0" applyNumberFormat="1" applyFont="1" applyFill="1" applyBorder="1" applyAlignment="1" applyProtection="1">
      <alignment horizontal="right" vertical="center" wrapText="1"/>
    </xf>
    <xf numFmtId="0" fontId="26" fillId="0" borderId="297" xfId="0" applyFont="1" applyFill="1" applyBorder="1" applyAlignment="1">
      <alignment vertical="top" wrapText="1"/>
    </xf>
    <xf numFmtId="0" fontId="27" fillId="0" borderId="358" xfId="0" applyFont="1" applyBorder="1" applyAlignment="1" applyProtection="1">
      <alignment horizontal="center" vertical="top" wrapText="1"/>
    </xf>
    <xf numFmtId="3" fontId="55" fillId="0" borderId="358" xfId="0" applyNumberFormat="1" applyFont="1" applyBorder="1" applyAlignment="1" applyProtection="1">
      <alignment horizontal="right" vertical="center" wrapText="1"/>
    </xf>
    <xf numFmtId="0" fontId="27" fillId="0" borderId="358" xfId="0" applyFont="1" applyBorder="1" applyAlignment="1" applyProtection="1">
      <alignment horizontal="center" vertical="center" wrapText="1"/>
    </xf>
    <xf numFmtId="3" fontId="27" fillId="0" borderId="299" xfId="0" applyNumberFormat="1" applyFont="1" applyBorder="1" applyAlignment="1" applyProtection="1">
      <alignment horizontal="center" vertical="center" wrapText="1"/>
    </xf>
    <xf numFmtId="3" fontId="55" fillId="0" borderId="299" xfId="0" applyNumberFormat="1" applyFont="1" applyBorder="1" applyAlignment="1" applyProtection="1">
      <alignment horizontal="right" vertical="center" wrapText="1"/>
    </xf>
    <xf numFmtId="3" fontId="27" fillId="0" borderId="355" xfId="0" applyNumberFormat="1" applyFont="1" applyBorder="1" applyAlignment="1" applyProtection="1">
      <alignment horizontal="center" vertical="center" wrapText="1"/>
    </xf>
    <xf numFmtId="3" fontId="55" fillId="0" borderId="355" xfId="0" applyNumberFormat="1" applyFont="1" applyBorder="1" applyAlignment="1" applyProtection="1">
      <alignment horizontal="right" vertical="center" wrapText="1"/>
    </xf>
    <xf numFmtId="0" fontId="27" fillId="0" borderId="299" xfId="0" applyFont="1" applyBorder="1" applyAlignment="1" applyProtection="1">
      <alignment horizontal="center" vertical="top" wrapText="1"/>
    </xf>
    <xf numFmtId="0" fontId="26" fillId="0" borderId="300" xfId="0" applyFont="1" applyBorder="1" applyAlignment="1" applyProtection="1">
      <alignment vertical="top" wrapText="1"/>
    </xf>
    <xf numFmtId="3" fontId="55" fillId="0" borderId="301" xfId="0" applyNumberFormat="1" applyFont="1" applyBorder="1" applyAlignment="1" applyProtection="1">
      <alignment horizontal="right" vertical="center" wrapText="1"/>
    </xf>
    <xf numFmtId="0" fontId="12" fillId="0" borderId="372" xfId="0" applyFont="1" applyFill="1" applyBorder="1" applyAlignment="1">
      <alignment vertical="top" wrapText="1"/>
    </xf>
    <xf numFmtId="3" fontId="55" fillId="0" borderId="341" xfId="0" applyNumberFormat="1" applyFont="1" applyBorder="1" applyAlignment="1" applyProtection="1">
      <alignment horizontal="right" vertical="center" wrapText="1"/>
    </xf>
    <xf numFmtId="0" fontId="12" fillId="0" borderId="372" xfId="0" applyFont="1" applyFill="1" applyBorder="1" applyAlignment="1">
      <alignment horizontal="left" vertical="top" wrapText="1"/>
    </xf>
    <xf numFmtId="0" fontId="12" fillId="0" borderId="402" xfId="0" applyFont="1" applyFill="1" applyBorder="1" applyAlignment="1">
      <alignment vertical="top" wrapText="1"/>
    </xf>
    <xf numFmtId="3" fontId="55" fillId="0" borderId="347" xfId="0" applyNumberFormat="1" applyFont="1" applyBorder="1" applyAlignment="1" applyProtection="1">
      <alignment horizontal="right" vertical="center" wrapText="1"/>
    </xf>
    <xf numFmtId="0" fontId="12" fillId="0" borderId="300" xfId="0" applyFont="1" applyFill="1" applyBorder="1" applyAlignment="1">
      <alignment vertical="top" wrapText="1"/>
    </xf>
    <xf numFmtId="0" fontId="13" fillId="0" borderId="402" xfId="0" applyFont="1" applyFill="1" applyBorder="1" applyAlignment="1">
      <alignment horizontal="center" vertical="top" wrapText="1"/>
    </xf>
    <xf numFmtId="0" fontId="57" fillId="0" borderId="355" xfId="0" applyFont="1" applyBorder="1" applyAlignment="1" applyProtection="1">
      <alignment horizontal="center" vertical="top" wrapText="1"/>
    </xf>
    <xf numFmtId="0" fontId="56" fillId="0" borderId="158" xfId="0" applyFont="1" applyBorder="1" applyAlignment="1" applyProtection="1">
      <alignment horizontal="center" vertical="top" wrapText="1"/>
    </xf>
    <xf numFmtId="0" fontId="56" fillId="0" borderId="370" xfId="0" applyFont="1" applyBorder="1" applyAlignment="1" applyProtection="1">
      <alignment horizontal="center" vertical="top" wrapText="1"/>
    </xf>
    <xf numFmtId="0" fontId="56" fillId="0" borderId="371" xfId="0" applyFont="1" applyBorder="1" applyAlignment="1" applyProtection="1">
      <alignment horizontal="center" vertical="top" wrapText="1"/>
    </xf>
    <xf numFmtId="49" fontId="27" fillId="0" borderId="358" xfId="0" applyNumberFormat="1" applyFont="1" applyBorder="1" applyAlignment="1" applyProtection="1">
      <alignment horizontal="justify" vertical="center" wrapText="1"/>
    </xf>
    <xf numFmtId="3" fontId="32" fillId="0" borderId="358" xfId="0" applyNumberFormat="1" applyFont="1" applyBorder="1" applyAlignment="1" applyProtection="1">
      <alignment horizontal="right" vertical="center"/>
      <protection locked="0"/>
    </xf>
    <xf numFmtId="49" fontId="27" fillId="0" borderId="358" xfId="0" applyNumberFormat="1" applyFont="1" applyBorder="1" applyAlignment="1" applyProtection="1">
      <alignment vertical="center" wrapText="1"/>
    </xf>
    <xf numFmtId="3" fontId="32" fillId="0" borderId="358" xfId="0" applyNumberFormat="1" applyFont="1" applyBorder="1" applyAlignment="1" applyProtection="1">
      <alignment horizontal="right" vertical="center"/>
    </xf>
    <xf numFmtId="0" fontId="27" fillId="0" borderId="372" xfId="0" applyFont="1" applyBorder="1" applyAlignment="1" applyProtection="1">
      <alignment horizontal="center" vertical="center" wrapText="1"/>
    </xf>
    <xf numFmtId="3" fontId="32" fillId="0" borderId="341" xfId="0" applyNumberFormat="1" applyFont="1" applyBorder="1" applyAlignment="1" applyProtection="1">
      <alignment horizontal="right" vertical="center"/>
      <protection locked="0"/>
    </xf>
    <xf numFmtId="3" fontId="32" fillId="0" borderId="341" xfId="0" applyNumberFormat="1" applyFont="1" applyBorder="1" applyAlignment="1" applyProtection="1">
      <alignment horizontal="right" vertical="center"/>
    </xf>
    <xf numFmtId="0" fontId="27" fillId="0" borderId="300" xfId="0" applyFont="1" applyBorder="1" applyAlignment="1" applyProtection="1">
      <alignment horizontal="center" vertical="center" wrapText="1"/>
    </xf>
    <xf numFmtId="49" fontId="27" fillId="0" borderId="299" xfId="0" applyNumberFormat="1" applyFont="1" applyBorder="1" applyAlignment="1" applyProtection="1">
      <alignment horizontal="justify" vertical="center" wrapText="1"/>
    </xf>
    <xf numFmtId="0" fontId="27" fillId="0" borderId="299" xfId="0" applyFont="1" applyBorder="1" applyAlignment="1" applyProtection="1">
      <alignment horizontal="center" vertical="center" wrapText="1"/>
    </xf>
    <xf numFmtId="3" fontId="32" fillId="0" borderId="299" xfId="0" applyNumberFormat="1" applyFont="1" applyBorder="1" applyAlignment="1" applyProtection="1">
      <alignment horizontal="right" vertical="center"/>
      <protection locked="0"/>
    </xf>
    <xf numFmtId="3" fontId="32" fillId="0" borderId="301" xfId="0" applyNumberFormat="1" applyFont="1" applyBorder="1" applyAlignment="1" applyProtection="1">
      <alignment horizontal="right" vertical="center"/>
      <protection locked="0"/>
    </xf>
    <xf numFmtId="0" fontId="32" fillId="0" borderId="111" xfId="0" applyFont="1" applyBorder="1" applyAlignment="1" applyProtection="1">
      <alignment horizontal="center" vertical="center" wrapText="1"/>
    </xf>
    <xf numFmtId="0" fontId="32" fillId="0" borderId="328" xfId="0" applyFont="1" applyBorder="1" applyAlignment="1" applyProtection="1">
      <alignment horizontal="center" vertical="center" wrapText="1"/>
    </xf>
    <xf numFmtId="0" fontId="32" fillId="0" borderId="329" xfId="0" applyFont="1" applyBorder="1" applyAlignment="1" applyProtection="1">
      <alignment horizontal="center" vertical="center" wrapText="1"/>
    </xf>
    <xf numFmtId="0" fontId="24" fillId="0" borderId="277" xfId="0" applyFont="1" applyBorder="1" applyAlignment="1" applyProtection="1">
      <alignment horizontal="center" vertical="center" wrapText="1"/>
    </xf>
    <xf numFmtId="0" fontId="24" fillId="0" borderId="226" xfId="0" applyFont="1" applyBorder="1" applyAlignment="1" applyProtection="1">
      <alignment horizontal="center" vertical="center" wrapText="1"/>
    </xf>
    <xf numFmtId="0" fontId="24" fillId="0" borderId="401" xfId="0" applyFont="1" applyBorder="1" applyAlignment="1" applyProtection="1">
      <alignment horizontal="center" vertical="center"/>
    </xf>
    <xf numFmtId="0" fontId="27" fillId="0" borderId="403" xfId="0" applyFont="1" applyBorder="1" applyAlignment="1" applyProtection="1">
      <alignment horizontal="center" vertical="center" wrapText="1"/>
    </xf>
    <xf numFmtId="49" fontId="27" fillId="0" borderId="377" xfId="0" applyNumberFormat="1" applyFont="1" applyBorder="1" applyAlignment="1" applyProtection="1">
      <alignment vertical="center" wrapText="1"/>
    </xf>
    <xf numFmtId="0" fontId="27" fillId="0" borderId="377" xfId="0" applyFont="1" applyBorder="1" applyAlignment="1" applyProtection="1">
      <alignment horizontal="center" vertical="center" wrapText="1"/>
    </xf>
    <xf numFmtId="3" fontId="32" fillId="0" borderId="377" xfId="0" applyNumberFormat="1" applyFont="1" applyBorder="1" applyAlignment="1" applyProtection="1">
      <alignment horizontal="right" vertical="center"/>
    </xf>
    <xf numFmtId="3" fontId="32" fillId="0" borderId="404" xfId="0" applyNumberFormat="1" applyFont="1" applyBorder="1" applyAlignment="1" applyProtection="1">
      <alignment horizontal="right" vertical="center"/>
    </xf>
    <xf numFmtId="0" fontId="29" fillId="0" borderId="111" xfId="0" applyFont="1" applyBorder="1" applyProtection="1"/>
    <xf numFmtId="49" fontId="41" fillId="0" borderId="328" xfId="0" applyNumberFormat="1" applyFont="1" applyBorder="1" applyAlignment="1" applyProtection="1">
      <alignment horizontal="center" vertical="center" wrapText="1"/>
    </xf>
    <xf numFmtId="0" fontId="27" fillId="0" borderId="328" xfId="0" applyFont="1" applyBorder="1" applyAlignment="1" applyProtection="1">
      <alignment horizontal="center" vertical="center" wrapText="1"/>
    </xf>
    <xf numFmtId="3" fontId="26" fillId="0" borderId="328" xfId="0" applyNumberFormat="1" applyFont="1" applyBorder="1" applyAlignment="1" applyProtection="1">
      <alignment horizontal="right" vertical="center"/>
    </xf>
    <xf numFmtId="3" fontId="16" fillId="0" borderId="387" xfId="0" applyNumberFormat="1" applyFont="1" applyFill="1" applyBorder="1" applyAlignment="1" applyProtection="1">
      <alignment vertical="center"/>
    </xf>
    <xf numFmtId="3" fontId="27" fillId="0" borderId="384" xfId="0" applyNumberFormat="1" applyFont="1" applyFill="1" applyBorder="1" applyAlignment="1" applyProtection="1">
      <alignment vertical="center"/>
      <protection locked="0"/>
    </xf>
    <xf numFmtId="3" fontId="27" fillId="0" borderId="384" xfId="0" applyNumberFormat="1" applyFont="1" applyFill="1" applyBorder="1" applyAlignment="1" applyProtection="1">
      <alignment vertical="center"/>
    </xf>
    <xf numFmtId="3" fontId="27" fillId="0" borderId="387" xfId="0" applyNumberFormat="1" applyFont="1" applyFill="1" applyBorder="1" applyAlignment="1" applyProtection="1">
      <alignment vertical="center"/>
    </xf>
    <xf numFmtId="3" fontId="26" fillId="0" borderId="384" xfId="0" applyNumberFormat="1" applyFont="1" applyFill="1" applyBorder="1" applyAlignment="1" applyProtection="1">
      <alignment vertical="center"/>
    </xf>
    <xf numFmtId="3" fontId="26" fillId="0" borderId="387" xfId="0" applyNumberFormat="1" applyFont="1" applyFill="1" applyBorder="1" applyAlignment="1" applyProtection="1">
      <alignment vertical="center"/>
    </xf>
    <xf numFmtId="3" fontId="27" fillId="0" borderId="386" xfId="0" applyNumberFormat="1" applyFont="1" applyFill="1" applyBorder="1" applyAlignment="1" applyProtection="1">
      <alignment vertical="center"/>
      <protection locked="0"/>
    </xf>
    <xf numFmtId="3" fontId="27" fillId="0" borderId="386" xfId="0" applyNumberFormat="1" applyFont="1" applyFill="1" applyBorder="1" applyAlignment="1" applyProtection="1">
      <alignment vertical="center"/>
    </xf>
    <xf numFmtId="3" fontId="27" fillId="0" borderId="388" xfId="0" applyNumberFormat="1" applyFont="1" applyFill="1" applyBorder="1" applyAlignment="1" applyProtection="1">
      <alignment vertical="center"/>
    </xf>
    <xf numFmtId="3" fontId="16" fillId="0" borderId="298" xfId="0" applyNumberFormat="1" applyFont="1" applyFill="1" applyBorder="1" applyAlignment="1" applyProtection="1">
      <alignment vertical="center"/>
    </xf>
    <xf numFmtId="3" fontId="27" fillId="0" borderId="298" xfId="0" applyNumberFormat="1" applyFont="1" applyFill="1" applyBorder="1" applyAlignment="1" applyProtection="1">
      <alignment vertical="center"/>
    </xf>
    <xf numFmtId="3" fontId="32" fillId="0" borderId="387" xfId="0" applyNumberFormat="1" applyFont="1" applyFill="1" applyBorder="1" applyAlignment="1" applyProtection="1">
      <alignment vertical="center"/>
    </xf>
    <xf numFmtId="3" fontId="32" fillId="0" borderId="384" xfId="0" applyNumberFormat="1" applyFont="1" applyBorder="1" applyAlignment="1" applyProtection="1">
      <alignment vertical="center"/>
      <protection locked="0"/>
    </xf>
    <xf numFmtId="3" fontId="26" fillId="0" borderId="384" xfId="0" applyNumberFormat="1" applyFont="1" applyFill="1" applyBorder="1" applyAlignment="1" applyProtection="1">
      <alignment vertical="center"/>
      <protection locked="0"/>
    </xf>
    <xf numFmtId="3" fontId="16" fillId="0" borderId="384" xfId="0" applyNumberFormat="1" applyFont="1" applyFill="1" applyBorder="1" applyAlignment="1" applyProtection="1">
      <alignment vertical="center"/>
      <protection locked="0"/>
    </xf>
    <xf numFmtId="3" fontId="32" fillId="0" borderId="386" xfId="0" applyNumberFormat="1" applyFont="1" applyFill="1" applyBorder="1" applyAlignment="1" applyProtection="1">
      <alignment vertical="center"/>
      <protection locked="0"/>
    </xf>
    <xf numFmtId="3" fontId="32" fillId="0" borderId="386" xfId="0" applyNumberFormat="1" applyFont="1" applyFill="1" applyBorder="1" applyAlignment="1" applyProtection="1">
      <alignment vertical="center"/>
    </xf>
    <xf numFmtId="3" fontId="32" fillId="0" borderId="388" xfId="0" applyNumberFormat="1" applyFont="1" applyFill="1" applyBorder="1" applyAlignment="1" applyProtection="1">
      <alignment vertical="center"/>
    </xf>
    <xf numFmtId="1" fontId="56" fillId="0" borderId="398" xfId="0" applyNumberFormat="1" applyFont="1" applyFill="1" applyBorder="1" applyAlignment="1" applyProtection="1">
      <alignment vertical="center" wrapText="1"/>
    </xf>
    <xf numFmtId="1" fontId="71" fillId="0" borderId="398" xfId="0" applyNumberFormat="1" applyFont="1" applyFill="1" applyBorder="1" applyAlignment="1" applyProtection="1">
      <alignment vertical="center" wrapText="1"/>
    </xf>
    <xf numFmtId="1" fontId="72" fillId="0" borderId="398" xfId="0" applyNumberFormat="1" applyFont="1" applyFill="1" applyBorder="1" applyAlignment="1" applyProtection="1">
      <alignment vertical="center" wrapText="1"/>
    </xf>
    <xf numFmtId="1" fontId="73" fillId="0" borderId="398" xfId="0" applyNumberFormat="1" applyFont="1" applyFill="1" applyBorder="1" applyAlignment="1" applyProtection="1">
      <alignment vertical="center" wrapText="1"/>
    </xf>
    <xf numFmtId="1" fontId="11" fillId="0" borderId="398" xfId="0" applyNumberFormat="1" applyFont="1" applyFill="1" applyBorder="1" applyAlignment="1" applyProtection="1">
      <alignment vertical="center" wrapText="1"/>
    </xf>
    <xf numFmtId="1" fontId="56" fillId="0" borderId="398" xfId="0" applyNumberFormat="1" applyFont="1" applyFill="1" applyBorder="1" applyAlignment="1" applyProtection="1">
      <alignment horizontal="left" vertical="center" wrapText="1"/>
    </xf>
    <xf numFmtId="1" fontId="74" fillId="0" borderId="384" xfId="0" applyNumberFormat="1" applyFont="1" applyFill="1" applyBorder="1" applyAlignment="1" applyProtection="1">
      <alignment horizontal="center" vertical="center"/>
    </xf>
    <xf numFmtId="1" fontId="74" fillId="0" borderId="398" xfId="0" applyNumberFormat="1" applyFont="1" applyFill="1" applyBorder="1" applyAlignment="1" applyProtection="1">
      <alignment vertical="center" wrapText="1"/>
    </xf>
    <xf numFmtId="49" fontId="74" fillId="0" borderId="384" xfId="0" applyNumberFormat="1" applyFont="1" applyFill="1" applyBorder="1" applyAlignment="1" applyProtection="1">
      <alignment horizontal="center" vertical="center"/>
    </xf>
    <xf numFmtId="170" fontId="79" fillId="0" borderId="398" xfId="0" applyNumberFormat="1" applyFont="1" applyFill="1" applyBorder="1" applyAlignment="1" applyProtection="1">
      <alignment vertical="center" wrapText="1"/>
    </xf>
    <xf numFmtId="49" fontId="79" fillId="0" borderId="384" xfId="0" applyNumberFormat="1" applyFont="1" applyFill="1" applyBorder="1" applyAlignment="1" applyProtection="1">
      <alignment horizontal="center" vertical="center"/>
    </xf>
    <xf numFmtId="170" fontId="74" fillId="0" borderId="398" xfId="0" applyNumberFormat="1" applyFont="1" applyFill="1" applyBorder="1" applyAlignment="1" applyProtection="1">
      <alignment vertical="center" wrapText="1"/>
    </xf>
    <xf numFmtId="1" fontId="74" fillId="0" borderId="384" xfId="0" applyNumberFormat="1" applyFont="1" applyFill="1" applyBorder="1" applyAlignment="1" applyProtection="1">
      <alignment horizontal="center" vertical="center" wrapText="1"/>
    </xf>
    <xf numFmtId="1" fontId="75" fillId="0" borderId="398" xfId="0" applyNumberFormat="1" applyFont="1" applyFill="1" applyBorder="1" applyAlignment="1" applyProtection="1">
      <alignment vertical="center" wrapText="1"/>
    </xf>
    <xf numFmtId="1" fontId="76" fillId="0" borderId="398" xfId="0" applyNumberFormat="1" applyFont="1" applyFill="1" applyBorder="1" applyAlignment="1" applyProtection="1">
      <alignment vertical="center" wrapText="1"/>
    </xf>
    <xf numFmtId="49" fontId="12" fillId="0" borderId="398" xfId="0" applyNumberFormat="1" applyFont="1" applyFill="1" applyBorder="1" applyAlignment="1" applyProtection="1">
      <alignment vertical="center" wrapText="1"/>
    </xf>
    <xf numFmtId="1" fontId="12" fillId="0" borderId="398" xfId="0" applyNumberFormat="1" applyFont="1" applyFill="1" applyBorder="1" applyAlignment="1" applyProtection="1">
      <alignment vertical="center" wrapText="1"/>
    </xf>
    <xf numFmtId="1" fontId="12" fillId="0" borderId="384" xfId="0" applyNumberFormat="1" applyFont="1" applyFill="1" applyBorder="1" applyAlignment="1" applyProtection="1">
      <alignment horizontal="center" vertical="center"/>
    </xf>
    <xf numFmtId="49" fontId="12" fillId="0" borderId="384" xfId="0" applyNumberFormat="1" applyFont="1" applyFill="1" applyBorder="1" applyAlignment="1" applyProtection="1">
      <alignment horizontal="center" vertical="center"/>
    </xf>
    <xf numFmtId="0" fontId="145" fillId="0" borderId="398" xfId="0" applyFont="1" applyFill="1" applyBorder="1" applyAlignment="1">
      <alignment horizontal="left" vertical="top" wrapText="1"/>
    </xf>
    <xf numFmtId="49" fontId="145" fillId="0" borderId="384" xfId="0" applyNumberFormat="1" applyFont="1" applyFill="1" applyBorder="1" applyAlignment="1">
      <alignment horizontal="center" vertical="center" wrapText="1"/>
    </xf>
    <xf numFmtId="1" fontId="79" fillId="0" borderId="384" xfId="0" applyNumberFormat="1" applyFont="1" applyFill="1" applyBorder="1" applyAlignment="1" applyProtection="1">
      <alignment horizontal="center" vertical="center"/>
    </xf>
    <xf numFmtId="1" fontId="74" fillId="0" borderId="398" xfId="0" applyNumberFormat="1" applyFont="1" applyFill="1" applyBorder="1" applyAlignment="1" applyProtection="1">
      <alignment horizontal="left" vertical="center" wrapText="1"/>
    </xf>
    <xf numFmtId="1" fontId="74" fillId="0" borderId="398" xfId="50" applyNumberFormat="1" applyFont="1" applyFill="1" applyBorder="1" applyAlignment="1" applyProtection="1">
      <alignment vertical="center" wrapText="1"/>
    </xf>
    <xf numFmtId="1" fontId="78" fillId="0" borderId="398" xfId="50" applyNumberFormat="1" applyFont="1" applyFill="1" applyBorder="1" applyAlignment="1" applyProtection="1">
      <alignment vertical="center" wrapText="1"/>
    </xf>
    <xf numFmtId="1" fontId="77" fillId="0" borderId="398" xfId="50" applyNumberFormat="1" applyFont="1" applyFill="1" applyBorder="1" applyAlignment="1" applyProtection="1">
      <alignment vertical="center" wrapText="1"/>
    </xf>
    <xf numFmtId="49" fontId="77" fillId="0" borderId="398" xfId="50" applyNumberFormat="1" applyFont="1" applyFill="1" applyBorder="1" applyAlignment="1" applyProtection="1">
      <alignment vertical="center" wrapText="1"/>
    </xf>
    <xf numFmtId="1" fontId="74" fillId="0" borderId="398" xfId="24" applyNumberFormat="1" applyFont="1" applyFill="1" applyBorder="1" applyAlignment="1" applyProtection="1">
      <alignment vertical="center" wrapText="1"/>
    </xf>
    <xf numFmtId="1" fontId="75" fillId="0" borderId="398" xfId="24" applyNumberFormat="1" applyFont="1" applyFill="1" applyBorder="1" applyAlignment="1" applyProtection="1">
      <alignment vertical="center" wrapText="1"/>
    </xf>
    <xf numFmtId="1" fontId="130" fillId="0" borderId="398" xfId="24" applyNumberFormat="1" applyFont="1" applyFill="1" applyBorder="1" applyAlignment="1" applyProtection="1">
      <alignment vertical="center" wrapText="1"/>
    </xf>
    <xf numFmtId="1" fontId="79" fillId="0" borderId="384" xfId="24" applyNumberFormat="1" applyFont="1" applyFill="1" applyBorder="1" applyAlignment="1" applyProtection="1">
      <alignment horizontal="center" vertical="center"/>
    </xf>
    <xf numFmtId="3" fontId="41" fillId="0" borderId="384" xfId="0" applyNumberFormat="1" applyFont="1" applyFill="1" applyBorder="1" applyAlignment="1" applyProtection="1">
      <alignment vertical="center"/>
    </xf>
    <xf numFmtId="1" fontId="131" fillId="0" borderId="398" xfId="24" applyNumberFormat="1" applyFont="1" applyFill="1" applyBorder="1" applyAlignment="1" applyProtection="1">
      <alignment vertical="center" wrapText="1"/>
    </xf>
    <xf numFmtId="1" fontId="72" fillId="0" borderId="384" xfId="24" applyNumberFormat="1" applyFont="1" applyFill="1" applyBorder="1" applyAlignment="1" applyProtection="1">
      <alignment horizontal="center" vertical="center"/>
    </xf>
    <xf numFmtId="1" fontId="79" fillId="0" borderId="398" xfId="24" applyNumberFormat="1" applyFont="1" applyFill="1" applyBorder="1" applyAlignment="1" applyProtection="1">
      <alignment vertical="center" wrapText="1"/>
    </xf>
    <xf numFmtId="1" fontId="56" fillId="0" borderId="325" xfId="0" applyNumberFormat="1" applyFont="1" applyFill="1" applyBorder="1" applyAlignment="1" applyProtection="1">
      <alignment vertical="center" wrapText="1"/>
    </xf>
    <xf numFmtId="1" fontId="56" fillId="0" borderId="211" xfId="0" applyNumberFormat="1" applyFont="1" applyFill="1" applyBorder="1" applyAlignment="1" applyProtection="1">
      <alignment horizontal="center" vertical="top" wrapText="1"/>
    </xf>
    <xf numFmtId="1" fontId="56" fillId="0" borderId="212" xfId="0" applyNumberFormat="1" applyFont="1" applyFill="1" applyBorder="1" applyAlignment="1" applyProtection="1">
      <alignment horizontal="center" vertical="top" wrapText="1"/>
    </xf>
    <xf numFmtId="1" fontId="31" fillId="0" borderId="212" xfId="0" applyNumberFormat="1" applyFont="1" applyFill="1" applyBorder="1" applyAlignment="1" applyProtection="1">
      <alignment horizontal="center"/>
    </xf>
    <xf numFmtId="1" fontId="31" fillId="0" borderId="213" xfId="0" applyNumberFormat="1" applyFont="1" applyFill="1" applyBorder="1" applyAlignment="1" applyProtection="1">
      <alignment horizontal="center"/>
    </xf>
    <xf numFmtId="1" fontId="56" fillId="0" borderId="297" xfId="0" applyNumberFormat="1" applyFont="1" applyFill="1" applyBorder="1" applyAlignment="1" applyProtection="1">
      <alignment horizontal="center" vertical="center"/>
    </xf>
    <xf numFmtId="170" fontId="74" fillId="0" borderId="385" xfId="0" applyNumberFormat="1" applyFont="1" applyFill="1" applyBorder="1" applyAlignment="1" applyProtection="1">
      <alignment vertical="center" wrapText="1"/>
    </xf>
    <xf numFmtId="49" fontId="74" fillId="0" borderId="386" xfId="0" applyNumberFormat="1" applyFont="1" applyFill="1" applyBorder="1" applyAlignment="1" applyProtection="1">
      <alignment horizontal="center" vertical="center"/>
    </xf>
    <xf numFmtId="49" fontId="12" fillId="0" borderId="325" xfId="0" applyNumberFormat="1" applyFont="1" applyFill="1" applyBorder="1" applyAlignment="1" applyProtection="1">
      <alignment vertical="center" wrapText="1"/>
    </xf>
    <xf numFmtId="49" fontId="76" fillId="0" borderId="297" xfId="0" applyNumberFormat="1" applyFont="1" applyFill="1" applyBorder="1" applyAlignment="1">
      <alignment horizontal="center" vertical="center" wrapText="1"/>
    </xf>
    <xf numFmtId="49" fontId="12" fillId="0" borderId="385" xfId="0" applyNumberFormat="1" applyFont="1" applyFill="1" applyBorder="1" applyAlignment="1" applyProtection="1">
      <alignment vertical="center" wrapText="1"/>
    </xf>
    <xf numFmtId="49" fontId="76" fillId="0" borderId="386" xfId="0" applyNumberFormat="1" applyFont="1" applyFill="1" applyBorder="1" applyAlignment="1">
      <alignment horizontal="center" vertical="center" wrapText="1"/>
    </xf>
    <xf numFmtId="1" fontId="77" fillId="0" borderId="325" xfId="50" applyNumberFormat="1" applyFont="1" applyFill="1" applyBorder="1" applyAlignment="1" applyProtection="1">
      <alignment vertical="center" wrapText="1"/>
    </xf>
    <xf numFmtId="1" fontId="74" fillId="0" borderId="297" xfId="0" applyNumberFormat="1" applyFont="1" applyFill="1" applyBorder="1" applyAlignment="1" applyProtection="1">
      <alignment horizontal="center" vertical="center"/>
    </xf>
    <xf numFmtId="1" fontId="77" fillId="0" borderId="385" xfId="50" applyNumberFormat="1" applyFont="1" applyFill="1" applyBorder="1" applyAlignment="1" applyProtection="1">
      <alignment vertical="center" wrapText="1"/>
    </xf>
    <xf numFmtId="1" fontId="74" fillId="0" borderId="386" xfId="0" applyNumberFormat="1" applyFont="1" applyFill="1" applyBorder="1" applyAlignment="1" applyProtection="1">
      <alignment horizontal="center" vertical="center"/>
    </xf>
    <xf numFmtId="49" fontId="23" fillId="0" borderId="384" xfId="0" applyNumberFormat="1" applyFont="1" applyFill="1" applyBorder="1" applyAlignment="1" applyProtection="1">
      <alignment vertical="center"/>
    </xf>
    <xf numFmtId="49" fontId="44" fillId="0" borderId="384" xfId="0" applyNumberFormat="1" applyFont="1" applyFill="1" applyBorder="1" applyAlignment="1" applyProtection="1">
      <alignment vertical="center"/>
    </xf>
    <xf numFmtId="3" fontId="26" fillId="0" borderId="384" xfId="0" applyNumberFormat="1" applyFont="1" applyBorder="1" applyAlignment="1" applyProtection="1">
      <alignment horizontal="right" vertical="center"/>
    </xf>
    <xf numFmtId="3" fontId="27" fillId="0" borderId="384" xfId="0" applyNumberFormat="1" applyFont="1" applyBorder="1" applyAlignment="1" applyProtection="1">
      <alignment horizontal="right" vertical="center"/>
    </xf>
    <xf numFmtId="2" fontId="31" fillId="0" borderId="398" xfId="0" applyNumberFormat="1" applyFont="1" applyFill="1" applyBorder="1" applyAlignment="1" applyProtection="1">
      <alignment vertical="center" wrapText="1"/>
    </xf>
    <xf numFmtId="2" fontId="12" fillId="0" borderId="398" xfId="0" applyNumberFormat="1" applyFont="1" applyFill="1" applyBorder="1" applyAlignment="1" applyProtection="1">
      <alignment vertical="center" wrapText="1"/>
    </xf>
    <xf numFmtId="3" fontId="26" fillId="0" borderId="387" xfId="0" applyNumberFormat="1" applyFont="1" applyBorder="1" applyAlignment="1" applyProtection="1">
      <alignment horizontal="right" vertical="center"/>
    </xf>
    <xf numFmtId="2" fontId="12" fillId="0" borderId="398" xfId="0" applyNumberFormat="1" applyFont="1" applyFill="1" applyBorder="1" applyAlignment="1" applyProtection="1">
      <alignment vertical="center"/>
    </xf>
    <xf numFmtId="3" fontId="27" fillId="0" borderId="387" xfId="0" applyNumberFormat="1" applyFont="1" applyBorder="1" applyAlignment="1" applyProtection="1">
      <alignment horizontal="right" vertical="center"/>
    </xf>
    <xf numFmtId="2" fontId="11" fillId="0" borderId="385" xfId="0" applyNumberFormat="1" applyFont="1" applyFill="1" applyBorder="1" applyProtection="1"/>
    <xf numFmtId="49" fontId="72" fillId="0" borderId="386" xfId="0" applyNumberFormat="1" applyFont="1" applyFill="1" applyBorder="1" applyProtection="1"/>
    <xf numFmtId="2" fontId="11" fillId="0" borderId="386" xfId="0" applyNumberFormat="1" applyFont="1" applyFill="1" applyBorder="1" applyProtection="1"/>
    <xf numFmtId="2" fontId="44" fillId="0" borderId="386" xfId="0" applyNumberFormat="1" applyFont="1" applyFill="1" applyBorder="1" applyProtection="1"/>
    <xf numFmtId="2" fontId="81" fillId="0" borderId="386" xfId="52" applyNumberFormat="1" applyFont="1" applyFill="1" applyBorder="1" applyAlignment="1" applyProtection="1">
      <alignment horizontal="center"/>
    </xf>
    <xf numFmtId="2" fontId="0" fillId="0" borderId="386" xfId="0" applyNumberFormat="1" applyFill="1" applyBorder="1" applyProtection="1"/>
    <xf numFmtId="2" fontId="0" fillId="0" borderId="388" xfId="0" applyNumberFormat="1" applyFill="1" applyBorder="1" applyProtection="1"/>
    <xf numFmtId="2" fontId="31" fillId="0" borderId="325" xfId="0" applyNumberFormat="1" applyFont="1" applyFill="1" applyBorder="1" applyAlignment="1" applyProtection="1">
      <alignment vertical="center" wrapText="1"/>
    </xf>
    <xf numFmtId="49" fontId="23" fillId="0" borderId="297" xfId="0" applyNumberFormat="1" applyFont="1" applyFill="1" applyBorder="1" applyAlignment="1" applyProtection="1">
      <alignment vertical="center"/>
    </xf>
    <xf numFmtId="2" fontId="41" fillId="0" borderId="211" xfId="0" applyNumberFormat="1" applyFont="1" applyFill="1" applyBorder="1" applyAlignment="1" applyProtection="1">
      <alignment horizontal="center" vertical="center" wrapText="1"/>
    </xf>
    <xf numFmtId="2" fontId="79" fillId="0" borderId="212" xfId="0" applyNumberFormat="1" applyFont="1" applyFill="1" applyBorder="1" applyAlignment="1" applyProtection="1">
      <alignment horizontal="center" vertical="center" wrapText="1"/>
    </xf>
    <xf numFmtId="1" fontId="16" fillId="0" borderId="212" xfId="0" applyNumberFormat="1" applyFont="1" applyFill="1" applyBorder="1" applyAlignment="1" applyProtection="1">
      <alignment horizontal="center" vertical="center" wrapText="1"/>
    </xf>
    <xf numFmtId="1" fontId="31" fillId="0" borderId="212" xfId="0" applyNumberFormat="1" applyFont="1" applyFill="1" applyBorder="1" applyAlignment="1" applyProtection="1">
      <alignment horizontal="center" vertical="center" wrapText="1"/>
    </xf>
    <xf numFmtId="1" fontId="31" fillId="0" borderId="212" xfId="0" applyNumberFormat="1" applyFont="1" applyBorder="1" applyAlignment="1" applyProtection="1">
      <alignment horizontal="center" vertical="center" wrapText="1"/>
    </xf>
    <xf numFmtId="1" fontId="31" fillId="0" borderId="213" xfId="0" applyNumberFormat="1" applyFont="1" applyBorder="1" applyAlignment="1" applyProtection="1">
      <alignment horizontal="center" vertical="center" wrapText="1"/>
    </xf>
    <xf numFmtId="2" fontId="12" fillId="0" borderId="385" xfId="0" applyNumberFormat="1" applyFont="1" applyFill="1" applyBorder="1" applyAlignment="1" applyProtection="1">
      <alignment vertical="center" wrapText="1"/>
    </xf>
    <xf numFmtId="49" fontId="44" fillId="0" borderId="386" xfId="0" applyNumberFormat="1" applyFont="1" applyFill="1" applyBorder="1" applyAlignment="1" applyProtection="1">
      <alignment vertical="center"/>
    </xf>
    <xf numFmtId="2" fontId="56" fillId="0" borderId="384" xfId="0" applyNumberFormat="1" applyFont="1" applyBorder="1" applyAlignment="1" applyProtection="1">
      <alignment horizontal="center" vertical="center" wrapText="1"/>
    </xf>
    <xf numFmtId="3" fontId="16" fillId="0" borderId="384" xfId="0" applyNumberFormat="1" applyFont="1" applyBorder="1" applyAlignment="1" applyProtection="1">
      <alignment horizontal="right" vertical="center" wrapText="1"/>
    </xf>
    <xf numFmtId="3" fontId="26" fillId="0" borderId="384" xfId="0" applyNumberFormat="1" applyFont="1" applyBorder="1" applyAlignment="1" applyProtection="1">
      <alignment horizontal="right" vertical="center" wrapText="1"/>
    </xf>
    <xf numFmtId="49" fontId="56" fillId="0" borderId="384" xfId="0" applyNumberFormat="1" applyFont="1" applyBorder="1" applyAlignment="1" applyProtection="1">
      <alignment horizontal="center" vertical="center" wrapText="1"/>
    </xf>
    <xf numFmtId="2" fontId="56" fillId="12" borderId="384" xfId="0" applyNumberFormat="1" applyFont="1" applyFill="1" applyBorder="1" applyAlignment="1" applyProtection="1">
      <alignment horizontal="center" vertical="center"/>
    </xf>
    <xf numFmtId="3" fontId="16" fillId="0" borderId="384" xfId="0" applyNumberFormat="1" applyFont="1" applyBorder="1" applyAlignment="1" applyProtection="1">
      <alignment horizontal="right" vertical="center"/>
    </xf>
    <xf numFmtId="2" fontId="74" fillId="12" borderId="384" xfId="0" applyNumberFormat="1" applyFont="1" applyFill="1" applyBorder="1" applyAlignment="1" applyProtection="1">
      <alignment horizontal="center" vertical="center"/>
    </xf>
    <xf numFmtId="3" fontId="32" fillId="0" borderId="384" xfId="0" applyNumberFormat="1" applyFont="1" applyBorder="1" applyAlignment="1" applyProtection="1">
      <alignment horizontal="right" vertical="center"/>
    </xf>
    <xf numFmtId="49" fontId="74" fillId="12" borderId="384" xfId="0" applyNumberFormat="1" applyFont="1" applyFill="1" applyBorder="1" applyAlignment="1" applyProtection="1">
      <alignment horizontal="center" vertical="center"/>
    </xf>
    <xf numFmtId="49" fontId="79" fillId="12" borderId="384" xfId="0" applyNumberFormat="1" applyFont="1" applyFill="1" applyBorder="1" applyAlignment="1" applyProtection="1">
      <alignment horizontal="center" vertical="center"/>
    </xf>
    <xf numFmtId="49" fontId="56" fillId="12" borderId="384" xfId="0" applyNumberFormat="1" applyFont="1" applyFill="1" applyBorder="1" applyAlignment="1" applyProtection="1">
      <alignment horizontal="center" vertical="center"/>
    </xf>
    <xf numFmtId="3" fontId="16" fillId="12" borderId="384" xfId="0" applyNumberFormat="1" applyFont="1" applyFill="1" applyBorder="1" applyAlignment="1" applyProtection="1">
      <alignment horizontal="right" vertical="center"/>
    </xf>
    <xf numFmtId="3" fontId="32" fillId="12" borderId="384" xfId="0" applyNumberFormat="1" applyFont="1" applyFill="1" applyBorder="1" applyAlignment="1" applyProtection="1">
      <alignment horizontal="right" vertical="center"/>
    </xf>
    <xf numFmtId="2" fontId="56" fillId="0" borderId="384" xfId="0" applyNumberFormat="1" applyFont="1" applyFill="1" applyBorder="1" applyAlignment="1" applyProtection="1">
      <alignment horizontal="center" vertical="center"/>
    </xf>
    <xf numFmtId="3" fontId="26" fillId="12" borderId="384" xfId="0" applyNumberFormat="1" applyFont="1" applyFill="1" applyBorder="1" applyAlignment="1" applyProtection="1">
      <alignment horizontal="right" vertical="center"/>
    </xf>
    <xf numFmtId="3" fontId="23" fillId="0" borderId="384" xfId="0" applyNumberFormat="1" applyFont="1" applyFill="1" applyBorder="1" applyAlignment="1">
      <alignment horizontal="center" vertical="center"/>
    </xf>
    <xf numFmtId="3" fontId="85" fillId="0" borderId="384" xfId="0" applyNumberFormat="1" applyFont="1" applyFill="1" applyBorder="1" applyAlignment="1">
      <alignment horizontal="center" vertical="center"/>
    </xf>
    <xf numFmtId="3" fontId="86" fillId="12" borderId="384" xfId="0" applyNumberFormat="1" applyFont="1" applyFill="1" applyBorder="1" applyAlignment="1" applyProtection="1">
      <alignment horizontal="right" vertical="center"/>
    </xf>
    <xf numFmtId="3" fontId="83" fillId="0" borderId="384" xfId="0" applyNumberFormat="1" applyFont="1" applyFill="1" applyBorder="1" applyAlignment="1">
      <alignment horizontal="center" vertical="center"/>
    </xf>
    <xf numFmtId="2" fontId="56" fillId="12" borderId="384" xfId="0" applyNumberFormat="1" applyFont="1" applyFill="1" applyBorder="1" applyAlignment="1">
      <alignment horizontal="center" vertical="center"/>
    </xf>
    <xf numFmtId="3" fontId="27" fillId="12" borderId="384" xfId="0" applyNumberFormat="1" applyFont="1" applyFill="1" applyBorder="1" applyAlignment="1" applyProtection="1">
      <alignment horizontal="right" vertical="center"/>
    </xf>
    <xf numFmtId="1" fontId="56" fillId="12" borderId="384" xfId="0" applyNumberFormat="1" applyFont="1" applyFill="1" applyBorder="1" applyAlignment="1" applyProtection="1">
      <alignment horizontal="center" vertical="center"/>
    </xf>
    <xf numFmtId="1" fontId="16" fillId="12" borderId="384" xfId="0" applyNumberFormat="1" applyFont="1" applyFill="1" applyBorder="1" applyAlignment="1" applyProtection="1">
      <alignment horizontal="right" vertical="center"/>
    </xf>
    <xf numFmtId="1" fontId="26" fillId="0" borderId="384" xfId="0" applyNumberFormat="1" applyFont="1" applyBorder="1" applyAlignment="1" applyProtection="1">
      <alignment horizontal="right" vertical="center"/>
    </xf>
    <xf numFmtId="1" fontId="32" fillId="0" borderId="384" xfId="0" applyNumberFormat="1" applyFont="1" applyBorder="1" applyAlignment="1" applyProtection="1">
      <alignment horizontal="right" vertical="center"/>
    </xf>
    <xf numFmtId="2" fontId="56" fillId="0" borderId="297" xfId="0" applyNumberFormat="1" applyFont="1" applyBorder="1" applyAlignment="1" applyProtection="1">
      <alignment horizontal="center" vertical="center" wrapText="1"/>
    </xf>
    <xf numFmtId="3" fontId="16" fillId="0" borderId="297" xfId="0" applyNumberFormat="1" applyFont="1" applyBorder="1" applyAlignment="1" applyProtection="1">
      <alignment horizontal="right" vertical="center" wrapText="1"/>
    </xf>
    <xf numFmtId="0" fontId="31" fillId="12" borderId="158" xfId="0" applyNumberFormat="1" applyFont="1" applyFill="1" applyBorder="1" applyAlignment="1" applyProtection="1">
      <alignment horizontal="center" vertical="top"/>
    </xf>
    <xf numFmtId="0" fontId="31" fillId="0" borderId="370" xfId="0" applyFont="1" applyBorder="1" applyAlignment="1" applyProtection="1">
      <alignment horizontal="center" vertical="center" wrapText="1"/>
    </xf>
    <xf numFmtId="0" fontId="31" fillId="0" borderId="371" xfId="0" applyFont="1" applyBorder="1" applyAlignment="1" applyProtection="1">
      <alignment horizontal="center" vertical="center" wrapText="1"/>
    </xf>
    <xf numFmtId="2" fontId="79" fillId="12" borderId="325" xfId="0" applyNumberFormat="1" applyFont="1" applyFill="1" applyBorder="1" applyAlignment="1" applyProtection="1">
      <alignment vertical="center" wrapText="1"/>
    </xf>
    <xf numFmtId="3" fontId="16" fillId="0" borderId="298" xfId="0" applyNumberFormat="1" applyFont="1" applyBorder="1" applyAlignment="1" applyProtection="1">
      <alignment horizontal="right" vertical="center" wrapText="1"/>
    </xf>
    <xf numFmtId="2" fontId="79" fillId="12" borderId="398" xfId="0" applyNumberFormat="1" applyFont="1" applyFill="1" applyBorder="1" applyAlignment="1" applyProtection="1">
      <alignment vertical="center" wrapText="1"/>
    </xf>
    <xf numFmtId="3" fontId="26" fillId="0" borderId="387" xfId="0" applyNumberFormat="1" applyFont="1" applyBorder="1" applyAlignment="1" applyProtection="1">
      <alignment horizontal="right" vertical="center" wrapText="1"/>
    </xf>
    <xf numFmtId="3" fontId="16" fillId="0" borderId="387" xfId="0" applyNumberFormat="1" applyFont="1" applyBorder="1" applyAlignment="1" applyProtection="1">
      <alignment horizontal="right" vertical="center" wrapText="1"/>
    </xf>
    <xf numFmtId="3" fontId="16" fillId="0" borderId="387" xfId="0" applyNumberFormat="1" applyFont="1" applyBorder="1" applyAlignment="1" applyProtection="1">
      <alignment horizontal="right" vertical="center"/>
    </xf>
    <xf numFmtId="2" fontId="74" fillId="12" borderId="398" xfId="0" applyNumberFormat="1" applyFont="1" applyFill="1" applyBorder="1" applyAlignment="1" applyProtection="1">
      <alignment vertical="center" wrapText="1"/>
    </xf>
    <xf numFmtId="3" fontId="32" fillId="0" borderId="387" xfId="0" applyNumberFormat="1" applyFont="1" applyBorder="1" applyAlignment="1" applyProtection="1">
      <alignment horizontal="right" vertical="center"/>
    </xf>
    <xf numFmtId="2" fontId="74" fillId="0" borderId="398" xfId="0" applyNumberFormat="1" applyFont="1" applyFill="1" applyBorder="1" applyAlignment="1" applyProtection="1">
      <alignment vertical="center" wrapText="1"/>
    </xf>
    <xf numFmtId="49" fontId="74" fillId="12" borderId="398" xfId="0" applyNumberFormat="1" applyFont="1" applyFill="1" applyBorder="1" applyAlignment="1" applyProtection="1">
      <alignment vertical="center" wrapText="1"/>
    </xf>
    <xf numFmtId="3" fontId="74" fillId="0" borderId="398" xfId="0" applyNumberFormat="1" applyFont="1" applyFill="1" applyBorder="1" applyAlignment="1">
      <alignment wrapText="1"/>
    </xf>
    <xf numFmtId="2" fontId="72" fillId="12" borderId="398" xfId="0" applyNumberFormat="1" applyFont="1" applyFill="1" applyBorder="1" applyAlignment="1" applyProtection="1">
      <alignment vertical="center" wrapText="1"/>
    </xf>
    <xf numFmtId="2" fontId="79" fillId="0" borderId="398" xfId="0" applyNumberFormat="1" applyFont="1" applyFill="1" applyBorder="1" applyAlignment="1" applyProtection="1">
      <alignment vertical="center" wrapText="1"/>
    </xf>
    <xf numFmtId="2" fontId="56" fillId="12" borderId="398" xfId="0" applyNumberFormat="1" applyFont="1" applyFill="1" applyBorder="1" applyAlignment="1" applyProtection="1">
      <alignment vertical="center" wrapText="1"/>
    </xf>
    <xf numFmtId="3" fontId="26" fillId="12" borderId="387" xfId="0" applyNumberFormat="1" applyFont="1" applyFill="1" applyBorder="1" applyAlignment="1" applyProtection="1">
      <alignment horizontal="right" vertical="center"/>
    </xf>
    <xf numFmtId="49" fontId="56" fillId="12" borderId="398" xfId="0" applyNumberFormat="1" applyFont="1" applyFill="1" applyBorder="1" applyAlignment="1" applyProtection="1">
      <alignment vertical="center" wrapText="1"/>
    </xf>
    <xf numFmtId="3" fontId="32" fillId="12" borderId="387" xfId="0" applyNumberFormat="1" applyFont="1" applyFill="1" applyBorder="1" applyAlignment="1" applyProtection="1">
      <alignment horizontal="right" vertical="center"/>
    </xf>
    <xf numFmtId="3" fontId="84" fillId="0" borderId="398" xfId="0" applyNumberFormat="1" applyFont="1" applyFill="1" applyBorder="1" applyAlignment="1">
      <alignment vertical="center" wrapText="1"/>
    </xf>
    <xf numFmtId="3" fontId="86" fillId="12" borderId="387" xfId="0" applyNumberFormat="1" applyFont="1" applyFill="1" applyBorder="1" applyAlignment="1" applyProtection="1">
      <alignment horizontal="right" vertical="center"/>
    </xf>
    <xf numFmtId="3" fontId="9" fillId="0" borderId="398" xfId="0" applyNumberFormat="1" applyFont="1" applyFill="1" applyBorder="1" applyAlignment="1">
      <alignment vertical="center" wrapText="1"/>
    </xf>
    <xf numFmtId="3" fontId="76" fillId="0" borderId="398" xfId="0" applyNumberFormat="1" applyFont="1" applyFill="1" applyBorder="1" applyAlignment="1">
      <alignment vertical="center" wrapText="1"/>
    </xf>
    <xf numFmtId="3" fontId="40" fillId="12" borderId="387" xfId="0" applyNumberFormat="1" applyFont="1" applyFill="1" applyBorder="1" applyAlignment="1" applyProtection="1">
      <alignment horizontal="right" vertical="center"/>
    </xf>
    <xf numFmtId="3" fontId="61" fillId="12" borderId="387" xfId="0" applyNumberFormat="1" applyFont="1" applyFill="1" applyBorder="1" applyAlignment="1" applyProtection="1">
      <alignment horizontal="right" vertical="center"/>
    </xf>
    <xf numFmtId="2" fontId="71" fillId="12" borderId="398" xfId="0" applyNumberFormat="1" applyFont="1" applyFill="1" applyBorder="1" applyAlignment="1">
      <alignment vertical="center" wrapText="1"/>
    </xf>
    <xf numFmtId="2" fontId="71" fillId="12" borderId="398" xfId="0" applyNumberFormat="1" applyFont="1" applyFill="1" applyBorder="1" applyAlignment="1" applyProtection="1">
      <alignment vertical="center" wrapText="1"/>
    </xf>
    <xf numFmtId="2" fontId="75" fillId="12" borderId="398" xfId="0" applyNumberFormat="1" applyFont="1" applyFill="1" applyBorder="1" applyAlignment="1" applyProtection="1">
      <alignment vertical="center" wrapText="1"/>
    </xf>
    <xf numFmtId="3" fontId="16" fillId="12" borderId="387" xfId="0" applyNumberFormat="1" applyFont="1" applyFill="1" applyBorder="1" applyAlignment="1" applyProtection="1">
      <alignment horizontal="right" vertical="center"/>
    </xf>
    <xf numFmtId="3" fontId="27" fillId="12" borderId="387" xfId="0" applyNumberFormat="1" applyFont="1" applyFill="1" applyBorder="1" applyAlignment="1" applyProtection="1">
      <alignment horizontal="right" vertical="center"/>
    </xf>
    <xf numFmtId="1" fontId="79" fillId="12" borderId="398" xfId="0" applyNumberFormat="1" applyFont="1" applyFill="1" applyBorder="1" applyAlignment="1" applyProtection="1">
      <alignment vertical="center" wrapText="1"/>
    </xf>
    <xf numFmtId="1" fontId="32" fillId="0" borderId="387" xfId="0" applyNumberFormat="1" applyFont="1" applyBorder="1" applyAlignment="1" applyProtection="1">
      <alignment horizontal="right" vertical="center"/>
    </xf>
    <xf numFmtId="2" fontId="56" fillId="12" borderId="385" xfId="0" applyNumberFormat="1" applyFont="1" applyFill="1" applyBorder="1" applyAlignment="1" applyProtection="1">
      <alignment vertical="center" wrapText="1"/>
    </xf>
    <xf numFmtId="2" fontId="56" fillId="12" borderId="386" xfId="0" applyNumberFormat="1" applyFont="1" applyFill="1" applyBorder="1" applyAlignment="1" applyProtection="1">
      <alignment horizontal="center" vertical="center"/>
    </xf>
    <xf numFmtId="3" fontId="16" fillId="12" borderId="386" xfId="0" applyNumberFormat="1" applyFont="1" applyFill="1" applyBorder="1" applyAlignment="1" applyProtection="1">
      <alignment horizontal="right" vertical="center"/>
    </xf>
    <xf numFmtId="3" fontId="16" fillId="0" borderId="386" xfId="0" applyNumberFormat="1" applyFont="1" applyBorder="1" applyAlignment="1" applyProtection="1">
      <alignment horizontal="right" vertical="center"/>
    </xf>
    <xf numFmtId="3" fontId="32" fillId="0" borderId="386" xfId="0" applyNumberFormat="1" applyFont="1" applyBorder="1" applyAlignment="1" applyProtection="1">
      <alignment horizontal="right" vertical="center"/>
    </xf>
    <xf numFmtId="3" fontId="32" fillId="0" borderId="388" xfId="0" applyNumberFormat="1" applyFont="1" applyBorder="1" applyAlignment="1" applyProtection="1">
      <alignment horizontal="right" vertical="center"/>
    </xf>
    <xf numFmtId="2" fontId="72" fillId="12" borderId="325" xfId="0" applyNumberFormat="1" applyFont="1" applyFill="1" applyBorder="1" applyAlignment="1" applyProtection="1">
      <alignment vertical="center" wrapText="1"/>
    </xf>
    <xf numFmtId="2" fontId="74" fillId="12" borderId="297" xfId="0" applyNumberFormat="1" applyFont="1" applyFill="1" applyBorder="1" applyAlignment="1" applyProtection="1">
      <alignment horizontal="center" vertical="center"/>
    </xf>
    <xf numFmtId="3" fontId="32" fillId="12" borderId="297" xfId="0" applyNumberFormat="1" applyFont="1" applyFill="1" applyBorder="1" applyAlignment="1" applyProtection="1">
      <alignment horizontal="right" vertical="center"/>
    </xf>
    <xf numFmtId="3" fontId="32" fillId="0" borderId="297" xfId="0" applyNumberFormat="1" applyFont="1" applyBorder="1" applyAlignment="1" applyProtection="1">
      <alignment horizontal="right" vertical="center"/>
    </xf>
    <xf numFmtId="3" fontId="32" fillId="0" borderId="298" xfId="0" applyNumberFormat="1" applyFont="1" applyBorder="1" applyAlignment="1" applyProtection="1">
      <alignment horizontal="right" vertical="center"/>
    </xf>
    <xf numFmtId="2" fontId="72" fillId="12" borderId="385" xfId="0" applyNumberFormat="1" applyFont="1" applyFill="1" applyBorder="1" applyAlignment="1" applyProtection="1">
      <alignment vertical="center" wrapText="1"/>
    </xf>
    <xf numFmtId="2" fontId="74" fillId="12" borderId="386" xfId="0" applyNumberFormat="1" applyFont="1" applyFill="1" applyBorder="1" applyAlignment="1" applyProtection="1">
      <alignment horizontal="center" vertical="center"/>
    </xf>
    <xf numFmtId="3" fontId="32" fillId="12" borderId="386" xfId="0" applyNumberFormat="1" applyFont="1" applyFill="1" applyBorder="1" applyAlignment="1" applyProtection="1">
      <alignment horizontal="right" vertical="center"/>
    </xf>
    <xf numFmtId="3" fontId="84" fillId="0" borderId="325" xfId="0" applyNumberFormat="1" applyFont="1" applyFill="1" applyBorder="1" applyAlignment="1">
      <alignment vertical="center" wrapText="1"/>
    </xf>
    <xf numFmtId="3" fontId="85" fillId="0" borderId="297" xfId="0" applyNumberFormat="1" applyFont="1" applyFill="1" applyBorder="1" applyAlignment="1">
      <alignment horizontal="center" vertical="center"/>
    </xf>
    <xf numFmtId="3" fontId="86" fillId="12" borderId="297" xfId="0" applyNumberFormat="1" applyFont="1" applyFill="1" applyBorder="1" applyAlignment="1" applyProtection="1">
      <alignment horizontal="right" vertical="center"/>
    </xf>
    <xf numFmtId="3" fontId="86" fillId="12" borderId="298" xfId="0" applyNumberFormat="1" applyFont="1" applyFill="1" applyBorder="1" applyAlignment="1" applyProtection="1">
      <alignment horizontal="right" vertical="center"/>
    </xf>
    <xf numFmtId="3" fontId="23" fillId="0" borderId="386" xfId="0" applyNumberFormat="1" applyFont="1" applyFill="1" applyBorder="1" applyAlignment="1">
      <alignment horizontal="center" vertical="center"/>
    </xf>
    <xf numFmtId="3" fontId="32" fillId="12" borderId="388" xfId="0" applyNumberFormat="1" applyFont="1" applyFill="1" applyBorder="1" applyAlignment="1" applyProtection="1">
      <alignment horizontal="right" vertical="center"/>
    </xf>
    <xf numFmtId="3" fontId="16" fillId="0" borderId="388" xfId="0" applyNumberFormat="1" applyFont="1" applyBorder="1" applyAlignment="1" applyProtection="1">
      <alignment horizontal="right" vertical="center"/>
    </xf>
    <xf numFmtId="0" fontId="56" fillId="0" borderId="384" xfId="0" applyFont="1" applyBorder="1" applyAlignment="1" applyProtection="1">
      <alignment horizontal="center" vertical="center" wrapText="1"/>
    </xf>
    <xf numFmtId="16" fontId="56" fillId="12" borderId="384" xfId="0" applyNumberFormat="1" applyFont="1" applyFill="1" applyBorder="1" applyAlignment="1" applyProtection="1">
      <alignment horizontal="center" vertical="center"/>
    </xf>
    <xf numFmtId="49" fontId="27" fillId="12" borderId="384" xfId="0" applyNumberFormat="1" applyFont="1" applyFill="1" applyBorder="1" applyAlignment="1" applyProtection="1">
      <alignment horizontal="right" vertical="center"/>
    </xf>
    <xf numFmtId="49" fontId="16" fillId="12" borderId="384" xfId="0" applyNumberFormat="1" applyFont="1" applyFill="1" applyBorder="1" applyAlignment="1" applyProtection="1">
      <alignment horizontal="right" vertical="center"/>
    </xf>
    <xf numFmtId="49" fontId="27" fillId="0" borderId="384" xfId="0" applyNumberFormat="1" applyFont="1" applyFill="1" applyBorder="1" applyAlignment="1" applyProtection="1">
      <alignment horizontal="right" vertical="center"/>
    </xf>
    <xf numFmtId="49" fontId="26" fillId="12" borderId="384" xfId="0" applyNumberFormat="1" applyFont="1" applyFill="1" applyBorder="1" applyAlignment="1" applyProtection="1">
      <alignment horizontal="right" vertical="center"/>
    </xf>
    <xf numFmtId="49" fontId="56" fillId="12" borderId="384" xfId="0" applyNumberFormat="1" applyFont="1" applyFill="1" applyBorder="1" applyAlignment="1">
      <alignment horizontal="center" vertical="center"/>
    </xf>
    <xf numFmtId="49" fontId="74" fillId="12" borderId="384" xfId="0" applyNumberFormat="1" applyFont="1" applyFill="1" applyBorder="1" applyAlignment="1">
      <alignment horizontal="center" vertical="center"/>
    </xf>
    <xf numFmtId="49" fontId="27" fillId="12" borderId="384" xfId="0" applyNumberFormat="1" applyFont="1" applyFill="1" applyBorder="1" applyAlignment="1">
      <alignment horizontal="right" vertical="center"/>
    </xf>
    <xf numFmtId="0" fontId="56" fillId="12" borderId="384" xfId="0" applyFont="1" applyFill="1" applyBorder="1" applyAlignment="1" applyProtection="1">
      <alignment horizontal="center" vertical="center"/>
    </xf>
    <xf numFmtId="0" fontId="26" fillId="12" borderId="384" xfId="0" applyFont="1" applyFill="1" applyBorder="1" applyAlignment="1" applyProtection="1">
      <alignment horizontal="right" vertical="center"/>
    </xf>
    <xf numFmtId="0" fontId="74" fillId="12" borderId="384" xfId="0" applyFont="1" applyFill="1" applyBorder="1" applyAlignment="1" applyProtection="1">
      <alignment horizontal="center" vertical="center"/>
    </xf>
    <xf numFmtId="0" fontId="27" fillId="12" borderId="384" xfId="0" applyFont="1" applyFill="1" applyBorder="1" applyAlignment="1" applyProtection="1">
      <alignment horizontal="right" vertical="center"/>
    </xf>
    <xf numFmtId="3" fontId="26" fillId="12" borderId="384" xfId="0" applyNumberFormat="1" applyFont="1" applyFill="1" applyBorder="1" applyAlignment="1" applyProtection="1">
      <alignment vertical="center"/>
    </xf>
    <xf numFmtId="3" fontId="27" fillId="12" borderId="384" xfId="0" applyNumberFormat="1" applyFont="1" applyFill="1" applyBorder="1" applyAlignment="1" applyProtection="1">
      <alignment vertical="center"/>
    </xf>
    <xf numFmtId="3" fontId="27" fillId="0" borderId="384" xfId="0" applyNumberFormat="1" applyFont="1" applyBorder="1" applyAlignment="1" applyProtection="1">
      <alignment vertical="center"/>
    </xf>
    <xf numFmtId="0" fontId="56" fillId="12" borderId="384" xfId="0" applyNumberFormat="1" applyFont="1" applyFill="1" applyBorder="1" applyAlignment="1" applyProtection="1">
      <alignment horizontal="center" vertical="center"/>
    </xf>
    <xf numFmtId="3" fontId="26" fillId="0" borderId="384" xfId="0" applyNumberFormat="1" applyFont="1" applyBorder="1" applyAlignment="1" applyProtection="1">
      <alignment vertical="center"/>
    </xf>
    <xf numFmtId="0" fontId="26" fillId="12" borderId="384" xfId="0" applyNumberFormat="1" applyFont="1" applyFill="1" applyBorder="1" applyAlignment="1" applyProtection="1">
      <alignment horizontal="right" vertical="center"/>
      <protection locked="0"/>
    </xf>
    <xf numFmtId="3" fontId="27" fillId="0" borderId="384" xfId="0" applyNumberFormat="1" applyFont="1" applyBorder="1" applyAlignment="1" applyProtection="1">
      <alignment horizontal="right" vertical="center"/>
      <protection locked="0"/>
    </xf>
    <xf numFmtId="0" fontId="26" fillId="12" borderId="384" xfId="0" applyNumberFormat="1" applyFont="1" applyFill="1" applyBorder="1" applyAlignment="1" applyProtection="1">
      <alignment horizontal="right" vertical="center"/>
    </xf>
    <xf numFmtId="0" fontId="79" fillId="12" borderId="398" xfId="0" applyNumberFormat="1" applyFont="1" applyFill="1" applyBorder="1" applyAlignment="1" applyProtection="1">
      <alignment vertical="center" wrapText="1"/>
    </xf>
    <xf numFmtId="0" fontId="79" fillId="12" borderId="398" xfId="0" applyFont="1" applyFill="1" applyBorder="1" applyAlignment="1" applyProtection="1">
      <alignment vertical="center" wrapText="1"/>
    </xf>
    <xf numFmtId="49" fontId="79" fillId="12" borderId="398" xfId="0" applyNumberFormat="1" applyFont="1" applyFill="1" applyBorder="1" applyAlignment="1" applyProtection="1">
      <alignment vertical="center" wrapText="1"/>
    </xf>
    <xf numFmtId="0" fontId="74" fillId="12" borderId="398" xfId="0" applyFont="1" applyFill="1" applyBorder="1" applyAlignment="1" applyProtection="1">
      <alignment vertical="center" wrapText="1"/>
    </xf>
    <xf numFmtId="49" fontId="72" fillId="12" borderId="398" xfId="0" applyNumberFormat="1" applyFont="1" applyFill="1" applyBorder="1" applyAlignment="1" applyProtection="1">
      <alignment vertical="center" wrapText="1"/>
    </xf>
    <xf numFmtId="0" fontId="72" fillId="0" borderId="398" xfId="0" applyFont="1" applyFill="1" applyBorder="1" applyAlignment="1" applyProtection="1">
      <alignment vertical="center" wrapText="1"/>
    </xf>
    <xf numFmtId="0" fontId="72" fillId="12" borderId="398" xfId="0" applyFont="1" applyFill="1" applyBorder="1" applyAlignment="1" applyProtection="1">
      <alignment vertical="center" wrapText="1"/>
    </xf>
    <xf numFmtId="0" fontId="56" fillId="12" borderId="398" xfId="0" applyFont="1" applyFill="1" applyBorder="1" applyAlignment="1" applyProtection="1">
      <alignment vertical="center" wrapText="1"/>
    </xf>
    <xf numFmtId="0" fontId="56" fillId="12" borderId="398" xfId="0" applyFont="1" applyFill="1" applyBorder="1" applyAlignment="1">
      <alignment vertical="top" wrapText="1"/>
    </xf>
    <xf numFmtId="0" fontId="56" fillId="12" borderId="398" xfId="0" applyFont="1" applyFill="1" applyBorder="1" applyAlignment="1">
      <alignment vertical="center" wrapText="1"/>
    </xf>
    <xf numFmtId="0" fontId="74" fillId="12" borderId="398" xfId="0" applyFont="1" applyFill="1" applyBorder="1" applyAlignment="1">
      <alignment horizontal="left" vertical="center"/>
    </xf>
    <xf numFmtId="0" fontId="56" fillId="12" borderId="398" xfId="0" applyFont="1" applyFill="1" applyBorder="1" applyAlignment="1">
      <alignment horizontal="left" vertical="center" wrapText="1"/>
    </xf>
    <xf numFmtId="0" fontId="26" fillId="12" borderId="387" xfId="0" applyFont="1" applyFill="1" applyBorder="1" applyAlignment="1" applyProtection="1">
      <alignment horizontal="right" vertical="center"/>
    </xf>
    <xf numFmtId="3" fontId="26" fillId="12" borderId="387" xfId="0" applyNumberFormat="1" applyFont="1" applyFill="1" applyBorder="1" applyAlignment="1" applyProtection="1">
      <alignment vertical="center"/>
    </xf>
    <xf numFmtId="3" fontId="27" fillId="0" borderId="387" xfId="0" applyNumberFormat="1" applyFont="1" applyBorder="1" applyAlignment="1" applyProtection="1">
      <alignment vertical="center"/>
    </xf>
    <xf numFmtId="3" fontId="26" fillId="0" borderId="387" xfId="0" applyNumberFormat="1" applyFont="1" applyBorder="1" applyAlignment="1" applyProtection="1">
      <alignment vertical="center"/>
    </xf>
    <xf numFmtId="3" fontId="27" fillId="0" borderId="387" xfId="0" applyNumberFormat="1" applyFont="1" applyBorder="1" applyAlignment="1" applyProtection="1">
      <alignment horizontal="right" vertical="center"/>
      <protection locked="0"/>
    </xf>
    <xf numFmtId="0" fontId="56" fillId="12" borderId="385" xfId="0" applyFont="1" applyFill="1" applyBorder="1" applyAlignment="1" applyProtection="1">
      <alignment vertical="center" wrapText="1"/>
    </xf>
    <xf numFmtId="0" fontId="56" fillId="12" borderId="386" xfId="0" applyNumberFormat="1" applyFont="1" applyFill="1" applyBorder="1" applyAlignment="1" applyProtection="1">
      <alignment horizontal="center" vertical="center"/>
    </xf>
    <xf numFmtId="0" fontId="26" fillId="12" borderId="386" xfId="0" applyNumberFormat="1" applyFont="1" applyFill="1" applyBorder="1" applyAlignment="1" applyProtection="1">
      <alignment horizontal="right" vertical="center"/>
    </xf>
    <xf numFmtId="3" fontId="26" fillId="0" borderId="386" xfId="0" applyNumberFormat="1" applyFont="1" applyBorder="1" applyAlignment="1" applyProtection="1">
      <alignment horizontal="right" vertical="center"/>
    </xf>
    <xf numFmtId="3" fontId="31" fillId="0" borderId="386" xfId="0" applyNumberFormat="1" applyFont="1" applyBorder="1" applyAlignment="1" applyProtection="1">
      <alignment horizontal="right" vertical="center"/>
    </xf>
    <xf numFmtId="3" fontId="27" fillId="0" borderId="386" xfId="0" applyNumberFormat="1" applyFont="1" applyBorder="1" applyAlignment="1" applyProtection="1">
      <alignment horizontal="right" vertical="center"/>
    </xf>
    <xf numFmtId="3" fontId="27" fillId="0" borderId="388" xfId="0" applyNumberFormat="1" applyFont="1" applyBorder="1" applyAlignment="1" applyProtection="1">
      <alignment horizontal="right" vertical="center"/>
    </xf>
    <xf numFmtId="0" fontId="79" fillId="12" borderId="325" xfId="0" applyNumberFormat="1" applyFont="1" applyFill="1" applyBorder="1" applyAlignment="1" applyProtection="1">
      <alignment vertical="center" wrapText="1"/>
    </xf>
    <xf numFmtId="0" fontId="56" fillId="0" borderId="297" xfId="0" applyFont="1" applyBorder="1" applyAlignment="1" applyProtection="1">
      <alignment horizontal="center" vertical="center" wrapText="1"/>
    </xf>
    <xf numFmtId="3" fontId="26" fillId="0" borderId="297" xfId="0" applyNumberFormat="1" applyFont="1" applyBorder="1" applyAlignment="1" applyProtection="1">
      <alignment horizontal="right" vertical="center" wrapText="1"/>
    </xf>
    <xf numFmtId="3" fontId="26" fillId="0" borderId="298" xfId="0" applyNumberFormat="1" applyFont="1" applyBorder="1" applyAlignment="1" applyProtection="1">
      <alignment horizontal="right" vertical="center" wrapText="1"/>
    </xf>
    <xf numFmtId="3" fontId="26" fillId="0" borderId="405" xfId="53" applyNumberFormat="1" applyFont="1" applyBorder="1" applyAlignment="1" applyProtection="1">
      <alignment wrapText="1"/>
    </xf>
    <xf numFmtId="49" fontId="26" fillId="0" borderId="406" xfId="53" applyNumberFormat="1" applyFont="1" applyBorder="1" applyAlignment="1" applyProtection="1">
      <alignment horizontal="center" vertical="center"/>
    </xf>
    <xf numFmtId="3" fontId="16" fillId="0" borderId="302" xfId="52" applyNumberFormat="1" applyFont="1" applyBorder="1" applyAlignment="1" applyProtection="1">
      <alignment horizontal="right" vertical="center"/>
    </xf>
    <xf numFmtId="3" fontId="16" fillId="0" borderId="299" xfId="52" applyNumberFormat="1" applyFont="1" applyBorder="1" applyAlignment="1" applyProtection="1">
      <alignment horizontal="right" vertical="center"/>
    </xf>
    <xf numFmtId="3" fontId="16" fillId="0" borderId="301" xfId="52" applyNumberFormat="1" applyFont="1" applyBorder="1" applyAlignment="1" applyProtection="1">
      <alignment horizontal="right" vertical="center"/>
    </xf>
    <xf numFmtId="3" fontId="23" fillId="0" borderId="158" xfId="53" applyNumberFormat="1" applyFont="1" applyBorder="1" applyAlignment="1" applyProtection="1">
      <alignment horizontal="center"/>
    </xf>
    <xf numFmtId="3" fontId="23" fillId="0" borderId="370" xfId="53" applyNumberFormat="1" applyFont="1" applyBorder="1" applyAlignment="1" applyProtection="1">
      <alignment horizontal="center"/>
    </xf>
    <xf numFmtId="0" fontId="23" fillId="0" borderId="370" xfId="53" applyNumberFormat="1" applyFont="1" applyBorder="1" applyAlignment="1" applyProtection="1">
      <alignment horizontal="center"/>
    </xf>
    <xf numFmtId="49" fontId="23" fillId="0" borderId="370" xfId="53" applyNumberFormat="1" applyFont="1" applyBorder="1" applyAlignment="1" applyProtection="1">
      <alignment horizontal="center"/>
    </xf>
    <xf numFmtId="49" fontId="48" fillId="0" borderId="371" xfId="53" applyNumberFormat="1" applyFont="1" applyBorder="1" applyAlignment="1" applyProtection="1">
      <alignment horizontal="center"/>
    </xf>
    <xf numFmtId="49" fontId="12" fillId="0" borderId="297" xfId="0" applyNumberFormat="1" applyFont="1" applyFill="1" applyBorder="1" applyAlignment="1" applyProtection="1">
      <alignment horizontal="center" vertical="center"/>
    </xf>
    <xf numFmtId="3" fontId="13" fillId="0" borderId="297" xfId="0" applyNumberFormat="1" applyFont="1" applyFill="1" applyBorder="1" applyAlignment="1" applyProtection="1">
      <alignment vertical="center"/>
      <protection locked="0"/>
    </xf>
    <xf numFmtId="3" fontId="13" fillId="0" borderId="298" xfId="0" applyNumberFormat="1" applyFont="1" applyFill="1" applyBorder="1" applyAlignment="1" applyProtection="1">
      <alignment vertical="center"/>
    </xf>
    <xf numFmtId="49" fontId="12" fillId="0" borderId="386" xfId="0" applyNumberFormat="1" applyFont="1" applyFill="1" applyBorder="1" applyAlignment="1" applyProtection="1">
      <alignment horizontal="center" vertical="center"/>
    </xf>
    <xf numFmtId="3" fontId="13" fillId="0" borderId="386" xfId="0" applyNumberFormat="1" applyFont="1" applyFill="1" applyBorder="1" applyAlignment="1" applyProtection="1">
      <alignment vertical="center"/>
      <protection locked="0"/>
    </xf>
    <xf numFmtId="3" fontId="13" fillId="0" borderId="388" xfId="0" applyNumberFormat="1" applyFont="1" applyFill="1" applyBorder="1" applyAlignment="1" applyProtection="1">
      <alignment vertical="center"/>
    </xf>
    <xf numFmtId="3" fontId="31" fillId="0" borderId="101" xfId="24" applyNumberFormat="1" applyFont="1" applyFill="1" applyBorder="1" applyAlignment="1" applyProtection="1">
      <alignment vertical="center" wrapText="1"/>
    </xf>
    <xf numFmtId="49" fontId="31" fillId="0" borderId="91" xfId="24" applyNumberFormat="1" applyFont="1" applyFill="1" applyBorder="1" applyAlignment="1" applyProtection="1">
      <alignment horizontal="center" vertical="center"/>
    </xf>
    <xf numFmtId="3" fontId="31" fillId="0" borderId="91" xfId="0" applyNumberFormat="1" applyFont="1" applyFill="1" applyBorder="1" applyAlignment="1" applyProtection="1">
      <alignment horizontal="right" vertical="center"/>
    </xf>
    <xf numFmtId="3" fontId="31" fillId="0" borderId="103" xfId="0" applyNumberFormat="1" applyFont="1" applyFill="1" applyBorder="1" applyAlignment="1" applyProtection="1">
      <alignment horizontal="right" vertical="center"/>
    </xf>
    <xf numFmtId="0" fontId="249" fillId="0" borderId="0" xfId="52" applyFont="1" applyFill="1" applyAlignment="1" applyProtection="1">
      <alignment horizontal="center"/>
    </xf>
    <xf numFmtId="3" fontId="12" fillId="0" borderId="101" xfId="24" applyNumberFormat="1" applyFont="1" applyFill="1" applyBorder="1" applyAlignment="1" applyProtection="1">
      <alignment vertical="center" wrapText="1"/>
    </xf>
    <xf numFmtId="3" fontId="12" fillId="0" borderId="91" xfId="0" applyNumberFormat="1" applyFont="1" applyFill="1" applyBorder="1" applyAlignment="1" applyProtection="1">
      <alignment horizontal="right" vertical="center"/>
      <protection locked="0"/>
    </xf>
    <xf numFmtId="3" fontId="12" fillId="0" borderId="103" xfId="0" applyNumberFormat="1" applyFont="1" applyFill="1" applyBorder="1" applyAlignment="1" applyProtection="1">
      <alignment horizontal="right" vertical="center"/>
    </xf>
    <xf numFmtId="40" fontId="44" fillId="0" borderId="385" xfId="0" applyNumberFormat="1" applyFont="1" applyFill="1" applyBorder="1" applyAlignment="1">
      <alignment vertical="center" wrapText="1"/>
    </xf>
    <xf numFmtId="3" fontId="31" fillId="0" borderId="230" xfId="0" applyNumberFormat="1" applyFont="1" applyFill="1" applyBorder="1" applyAlignment="1">
      <alignment vertical="center" wrapText="1"/>
    </xf>
    <xf numFmtId="3" fontId="23" fillId="0" borderId="231" xfId="0" applyNumberFormat="1" applyFont="1" applyFill="1" applyBorder="1" applyAlignment="1">
      <alignment vertical="center"/>
    </xf>
    <xf numFmtId="3" fontId="24" fillId="0" borderId="231" xfId="0" applyNumberFormat="1" applyFont="1" applyFill="1" applyBorder="1" applyAlignment="1" applyProtection="1">
      <alignment horizontal="right" vertical="center"/>
    </xf>
    <xf numFmtId="3" fontId="32" fillId="0" borderId="231" xfId="0" applyNumberFormat="1" applyFont="1" applyFill="1" applyBorder="1" applyAlignment="1" applyProtection="1">
      <alignment horizontal="right" vertical="center"/>
      <protection locked="0"/>
    </xf>
    <xf numFmtId="3" fontId="32" fillId="0" borderId="232" xfId="0" applyNumberFormat="1" applyFont="1" applyFill="1" applyBorder="1" applyAlignment="1" applyProtection="1">
      <alignment horizontal="right" vertical="center"/>
      <protection locked="0"/>
    </xf>
    <xf numFmtId="3" fontId="24" fillId="0" borderId="385" xfId="0" applyNumberFormat="1" applyFont="1" applyFill="1" applyBorder="1" applyAlignment="1" applyProtection="1">
      <alignment horizontal="left" vertical="center" wrapText="1"/>
    </xf>
    <xf numFmtId="3" fontId="24" fillId="0" borderId="386" xfId="0" applyNumberFormat="1" applyFont="1" applyFill="1" applyBorder="1" applyAlignment="1" applyProtection="1">
      <alignment horizontal="right" vertical="center"/>
    </xf>
    <xf numFmtId="3" fontId="44" fillId="0" borderId="231" xfId="0" applyNumberFormat="1" applyFont="1" applyFill="1" applyBorder="1" applyAlignment="1">
      <alignment vertical="center"/>
    </xf>
    <xf numFmtId="3" fontId="27" fillId="0" borderId="231" xfId="0" applyNumberFormat="1" applyFont="1" applyFill="1" applyBorder="1" applyAlignment="1" applyProtection="1">
      <alignment horizontal="right" vertical="center"/>
      <protection locked="0"/>
    </xf>
    <xf numFmtId="3" fontId="27" fillId="0" borderId="232" xfId="0" applyNumberFormat="1" applyFont="1" applyFill="1" applyBorder="1" applyAlignment="1" applyProtection="1">
      <alignment horizontal="right" vertical="center"/>
      <protection locked="0"/>
    </xf>
    <xf numFmtId="3" fontId="12" fillId="0" borderId="385" xfId="0" applyNumberFormat="1" applyFont="1" applyFill="1" applyBorder="1" applyAlignment="1">
      <alignment horizontal="left" vertical="center" wrapText="1"/>
    </xf>
    <xf numFmtId="3" fontId="26" fillId="0" borderId="231" xfId="0" applyNumberFormat="1" applyFont="1" applyFill="1" applyBorder="1" applyAlignment="1" applyProtection="1">
      <alignment horizontal="right" vertical="center"/>
    </xf>
    <xf numFmtId="3" fontId="26" fillId="0" borderId="232" xfId="0" applyNumberFormat="1" applyFont="1" applyFill="1" applyBorder="1" applyAlignment="1" applyProtection="1">
      <alignment horizontal="right" vertical="center"/>
    </xf>
    <xf numFmtId="3" fontId="12" fillId="0" borderId="230" xfId="0" applyNumberFormat="1" applyFont="1" applyFill="1" applyBorder="1" applyAlignment="1">
      <alignment horizontal="left" vertical="center" wrapText="1"/>
    </xf>
    <xf numFmtId="0" fontId="12" fillId="0" borderId="385" xfId="0" applyFont="1" applyFill="1" applyBorder="1" applyAlignment="1">
      <alignment vertical="center" wrapText="1"/>
    </xf>
    <xf numFmtId="0" fontId="44" fillId="0" borderId="386" xfId="0" applyFont="1" applyFill="1" applyBorder="1" applyAlignment="1">
      <alignment horizontal="left" vertical="center"/>
    </xf>
    <xf numFmtId="4" fontId="44" fillId="0" borderId="385" xfId="25" applyNumberFormat="1" applyFont="1" applyFill="1" applyBorder="1" applyAlignment="1">
      <alignment horizontal="left" vertical="center" wrapText="1"/>
    </xf>
    <xf numFmtId="1" fontId="70" fillId="0" borderId="212" xfId="0" applyNumberFormat="1" applyFont="1" applyFill="1" applyBorder="1" applyAlignment="1" applyProtection="1">
      <alignment horizontal="center" vertical="center" wrapText="1"/>
    </xf>
    <xf numFmtId="1" fontId="31" fillId="0" borderId="212" xfId="0" applyNumberFormat="1" applyFont="1" applyFill="1" applyBorder="1" applyAlignment="1" applyProtection="1">
      <alignment horizontal="center" vertical="center"/>
    </xf>
    <xf numFmtId="2" fontId="31" fillId="0" borderId="0" xfId="0" applyNumberFormat="1" applyFont="1" applyFill="1" applyAlignment="1" applyProtection="1"/>
    <xf numFmtId="2" fontId="12" fillId="0" borderId="0" xfId="0" applyNumberFormat="1" applyFont="1" applyFill="1" applyProtection="1"/>
    <xf numFmtId="2" fontId="13" fillId="0" borderId="0" xfId="0" applyNumberFormat="1" applyFont="1" applyFill="1" applyProtection="1"/>
    <xf numFmtId="3" fontId="0" fillId="0" borderId="100" xfId="0" applyNumberFormat="1" applyFill="1" applyBorder="1" applyAlignment="1" applyProtection="1">
      <alignment horizontal="right" vertical="center"/>
    </xf>
    <xf numFmtId="3" fontId="0" fillId="0" borderId="384" xfId="0" applyNumberFormat="1" applyFill="1" applyBorder="1" applyAlignment="1" applyProtection="1">
      <alignment horizontal="right" vertical="center"/>
    </xf>
    <xf numFmtId="3" fontId="11" fillId="0" borderId="384" xfId="0" applyNumberFormat="1" applyFont="1" applyFill="1" applyBorder="1" applyAlignment="1" applyProtection="1">
      <alignment horizontal="right" vertical="center"/>
    </xf>
    <xf numFmtId="3" fontId="0" fillId="0" borderId="386" xfId="0" applyNumberFormat="1" applyFill="1" applyBorder="1" applyAlignment="1" applyProtection="1">
      <alignment horizontal="right" vertical="center"/>
    </xf>
    <xf numFmtId="3" fontId="0" fillId="0" borderId="297" xfId="0" applyNumberFormat="1" applyFill="1" applyBorder="1" applyAlignment="1" applyProtection="1">
      <alignment horizontal="right" vertical="center"/>
    </xf>
    <xf numFmtId="3" fontId="41" fillId="0" borderId="386" xfId="0" applyNumberFormat="1" applyFont="1" applyFill="1" applyBorder="1" applyAlignment="1" applyProtection="1">
      <alignment horizontal="right" vertical="center"/>
    </xf>
    <xf numFmtId="3" fontId="139" fillId="0" borderId="384" xfId="0" applyNumberFormat="1" applyFont="1" applyFill="1" applyBorder="1" applyAlignment="1" applyProtection="1">
      <alignment horizontal="right" vertical="center"/>
    </xf>
    <xf numFmtId="3" fontId="189" fillId="0" borderId="384" xfId="0" applyNumberFormat="1" applyFont="1" applyFill="1" applyBorder="1" applyAlignment="1" applyProtection="1">
      <alignment horizontal="right" vertical="center"/>
    </xf>
    <xf numFmtId="3" fontId="48" fillId="0" borderId="386" xfId="0" applyNumberFormat="1" applyFont="1" applyFill="1" applyBorder="1" applyAlignment="1">
      <alignment vertical="center"/>
    </xf>
    <xf numFmtId="3" fontId="227" fillId="11" borderId="0" xfId="0" applyNumberFormat="1" applyFont="1" applyFill="1" applyAlignment="1" applyProtection="1">
      <alignment horizontal="center" vertical="center"/>
    </xf>
    <xf numFmtId="3" fontId="41" fillId="0" borderId="358" xfId="0" applyNumberFormat="1" applyFont="1" applyFill="1" applyBorder="1" applyAlignment="1" applyProtection="1">
      <alignment horizontal="right" vertical="center" wrapText="1"/>
      <protection locked="0"/>
    </xf>
    <xf numFmtId="3" fontId="41" fillId="0" borderId="358" xfId="49" applyNumberFormat="1" applyFont="1" applyFill="1" applyBorder="1" applyAlignment="1" applyProtection="1">
      <alignment horizontal="right" vertical="center" wrapText="1"/>
      <protection locked="0"/>
    </xf>
    <xf numFmtId="3" fontId="41" fillId="0" borderId="358" xfId="42" applyNumberFormat="1" applyFont="1" applyFill="1" applyBorder="1" applyAlignment="1" applyProtection="1">
      <alignment horizontal="right" vertical="center" wrapText="1"/>
    </xf>
    <xf numFmtId="2" fontId="17" fillId="0" borderId="0" xfId="0" applyNumberFormat="1" applyFont="1"/>
    <xf numFmtId="0" fontId="163" fillId="0" borderId="230" xfId="22" applyFont="1" applyBorder="1" applyAlignment="1" applyProtection="1">
      <alignment horizontal="left" vertical="center" wrapText="1"/>
    </xf>
    <xf numFmtId="3" fontId="17" fillId="0" borderId="298" xfId="22" applyNumberFormat="1" applyFont="1" applyBorder="1" applyAlignment="1" applyProtection="1">
      <alignment horizontal="right" vertical="center"/>
    </xf>
    <xf numFmtId="0" fontId="250" fillId="0" borderId="163" xfId="22" applyFont="1" applyBorder="1" applyAlignment="1" applyProtection="1">
      <alignment horizontal="center" vertical="center" wrapText="1"/>
    </xf>
    <xf numFmtId="0" fontId="250" fillId="0" borderId="409" xfId="22" applyFont="1" applyBorder="1" applyAlignment="1" applyProtection="1">
      <alignment horizontal="center" vertical="center" wrapText="1"/>
    </xf>
    <xf numFmtId="0" fontId="254" fillId="0" borderId="0" xfId="0" applyFont="1" applyAlignment="1">
      <alignment horizontal="center"/>
    </xf>
    <xf numFmtId="3" fontId="17" fillId="0" borderId="297" xfId="22" applyNumberFormat="1" applyFont="1" applyBorder="1" applyAlignment="1" applyProtection="1">
      <alignment horizontal="right" vertical="center"/>
      <protection locked="0"/>
    </xf>
    <xf numFmtId="0" fontId="250" fillId="0" borderId="410" xfId="22" applyFont="1" applyBorder="1" applyAlignment="1" applyProtection="1">
      <alignment horizontal="center" vertical="center" wrapText="1"/>
    </xf>
    <xf numFmtId="3" fontId="17" fillId="0" borderId="370" xfId="22" applyNumberFormat="1" applyFont="1" applyBorder="1" applyAlignment="1" applyProtection="1">
      <alignment horizontal="right" vertical="center"/>
    </xf>
    <xf numFmtId="3" fontId="17" fillId="0" borderId="371" xfId="22" applyNumberFormat="1" applyFont="1" applyBorder="1" applyAlignment="1" applyProtection="1">
      <alignment horizontal="right" vertical="center"/>
    </xf>
    <xf numFmtId="0" fontId="255" fillId="0" borderId="179" xfId="22" applyFont="1" applyBorder="1" applyAlignment="1" applyProtection="1">
      <alignment horizontal="center" vertical="center" wrapText="1"/>
    </xf>
    <xf numFmtId="2" fontId="16" fillId="0" borderId="0" xfId="0" applyNumberFormat="1" applyFont="1"/>
    <xf numFmtId="0" fontId="255" fillId="0" borderId="207" xfId="22" applyFont="1" applyBorder="1" applyAlignment="1" applyProtection="1">
      <alignment horizontal="center" vertical="center" wrapText="1"/>
    </xf>
    <xf numFmtId="0" fontId="255" fillId="0" borderId="407" xfId="22" applyFont="1" applyBorder="1" applyAlignment="1" applyProtection="1">
      <alignment horizontal="center" vertical="center"/>
    </xf>
    <xf numFmtId="0" fontId="255" fillId="0" borderId="102" xfId="22" applyFont="1" applyBorder="1" applyAlignment="1" applyProtection="1">
      <alignment horizontal="center" vertical="center" wrapText="1"/>
    </xf>
    <xf numFmtId="0" fontId="256" fillId="0" borderId="158" xfId="22" applyFont="1" applyBorder="1" applyAlignment="1" applyProtection="1">
      <alignment horizontal="center" vertical="center" wrapText="1"/>
    </xf>
    <xf numFmtId="0" fontId="11" fillId="0" borderId="0" xfId="0" applyFont="1" applyAlignment="1">
      <alignment horizontal="right"/>
    </xf>
    <xf numFmtId="0" fontId="255" fillId="0" borderId="224" xfId="22" applyFont="1" applyBorder="1" applyAlignment="1" applyProtection="1">
      <alignment horizontal="center" vertical="center" wrapText="1"/>
    </xf>
    <xf numFmtId="0" fontId="163" fillId="0" borderId="398" xfId="22" applyFont="1" applyBorder="1" applyAlignment="1" applyProtection="1">
      <alignment horizontal="center" vertical="center" wrapText="1"/>
    </xf>
    <xf numFmtId="3" fontId="59" fillId="0" borderId="384" xfId="22" applyNumberFormat="1" applyFont="1" applyBorder="1" applyAlignment="1" applyProtection="1">
      <alignment horizontal="right" vertical="center"/>
    </xf>
    <xf numFmtId="3" fontId="59" fillId="0" borderId="384" xfId="22" applyNumberFormat="1" applyFont="1" applyBorder="1" applyAlignment="1" applyProtection="1">
      <alignment horizontal="right" vertical="center"/>
      <protection locked="0"/>
    </xf>
    <xf numFmtId="3" fontId="59" fillId="0" borderId="387" xfId="22" applyNumberFormat="1" applyFont="1" applyBorder="1" applyAlignment="1" applyProtection="1">
      <alignment horizontal="right" vertical="center"/>
    </xf>
    <xf numFmtId="3" fontId="161" fillId="0" borderId="387" xfId="22" applyNumberFormat="1" applyFont="1" applyBorder="1" applyAlignment="1" applyProtection="1">
      <alignment horizontal="right" vertical="center" wrapText="1"/>
    </xf>
    <xf numFmtId="0" fontId="163" fillId="0" borderId="398" xfId="22" applyFont="1" applyBorder="1" applyAlignment="1" applyProtection="1">
      <alignment horizontal="center" vertical="center"/>
    </xf>
    <xf numFmtId="3" fontId="161" fillId="0" borderId="384" xfId="22" applyNumberFormat="1" applyFont="1" applyBorder="1" applyAlignment="1" applyProtection="1">
      <alignment horizontal="right" vertical="center" wrapText="1"/>
    </xf>
    <xf numFmtId="0" fontId="162" fillId="0" borderId="384" xfId="22" applyFont="1" applyBorder="1" applyAlignment="1" applyProtection="1">
      <alignment horizontal="center" vertical="center"/>
    </xf>
    <xf numFmtId="0" fontId="163" fillId="0" borderId="385" xfId="22" applyFont="1" applyBorder="1" applyAlignment="1" applyProtection="1">
      <alignment horizontal="center" vertical="center"/>
    </xf>
    <xf numFmtId="0" fontId="162" fillId="0" borderId="386" xfId="22" applyFont="1" applyBorder="1" applyAlignment="1" applyProtection="1">
      <alignment horizontal="center" vertical="center"/>
    </xf>
    <xf numFmtId="3" fontId="59" fillId="0" borderId="386" xfId="22" applyNumberFormat="1" applyFont="1" applyBorder="1" applyAlignment="1" applyProtection="1">
      <alignment horizontal="right" vertical="center"/>
      <protection locked="0"/>
    </xf>
    <xf numFmtId="3" fontId="161" fillId="0" borderId="388" xfId="22" applyNumberFormat="1" applyFont="1" applyBorder="1" applyAlignment="1" applyProtection="1">
      <alignment horizontal="right" vertical="center" wrapText="1"/>
    </xf>
    <xf numFmtId="3" fontId="59" fillId="0" borderId="100" xfId="22" applyNumberFormat="1" applyFont="1" applyBorder="1" applyAlignment="1" applyProtection="1">
      <alignment horizontal="right" vertical="center"/>
    </xf>
    <xf numFmtId="3" fontId="59" fillId="0" borderId="100" xfId="22" applyNumberFormat="1" applyFont="1" applyBorder="1" applyAlignment="1" applyProtection="1">
      <alignment horizontal="right" vertical="center"/>
      <protection locked="0"/>
    </xf>
    <xf numFmtId="3" fontId="59" fillId="0" borderId="102" xfId="22" applyNumberFormat="1" applyFont="1" applyBorder="1" applyAlignment="1" applyProtection="1">
      <alignment horizontal="right" vertical="center"/>
    </xf>
    <xf numFmtId="0" fontId="220" fillId="0" borderId="211" xfId="22" applyFont="1" applyBorder="1" applyAlignment="1" applyProtection="1">
      <alignment horizontal="center" vertical="center" wrapText="1"/>
    </xf>
    <xf numFmtId="0" fontId="250" fillId="0" borderId="408" xfId="22" applyFont="1" applyBorder="1" applyAlignment="1" applyProtection="1">
      <alignment horizontal="center" vertical="center" wrapText="1"/>
    </xf>
    <xf numFmtId="3" fontId="59" fillId="0" borderId="212" xfId="22" applyNumberFormat="1" applyFont="1" applyBorder="1" applyAlignment="1" applyProtection="1">
      <alignment horizontal="right" vertical="center"/>
    </xf>
    <xf numFmtId="3" fontId="59" fillId="0" borderId="213" xfId="22" applyNumberFormat="1" applyFont="1" applyBorder="1" applyAlignment="1" applyProtection="1">
      <alignment horizontal="right" vertical="center"/>
    </xf>
    <xf numFmtId="0" fontId="163" fillId="0" borderId="385" xfId="22" applyFont="1" applyBorder="1" applyAlignment="1" applyProtection="1">
      <alignment horizontal="left" vertical="center" wrapText="1"/>
    </xf>
    <xf numFmtId="0" fontId="250" fillId="0" borderId="366" xfId="22" applyFont="1" applyBorder="1" applyAlignment="1" applyProtection="1">
      <alignment horizontal="center" vertical="center" wrapText="1"/>
    </xf>
    <xf numFmtId="3" fontId="17" fillId="0" borderId="386" xfId="22" applyNumberFormat="1" applyFont="1" applyBorder="1" applyAlignment="1" applyProtection="1">
      <alignment horizontal="right" vertical="center"/>
      <protection locked="0"/>
    </xf>
    <xf numFmtId="3" fontId="17" fillId="0" borderId="388" xfId="22" applyNumberFormat="1" applyFont="1" applyBorder="1" applyAlignment="1" applyProtection="1">
      <alignment horizontal="right" vertical="center"/>
    </xf>
    <xf numFmtId="3" fontId="59" fillId="0" borderId="212" xfId="22" applyNumberFormat="1" applyFont="1" applyBorder="1" applyAlignment="1" applyProtection="1">
      <alignment horizontal="right" vertical="center"/>
      <protection locked="0"/>
    </xf>
    <xf numFmtId="0" fontId="31" fillId="0" borderId="386" xfId="25" applyFont="1" applyFill="1" applyBorder="1" applyAlignment="1" applyProtection="1">
      <alignment horizontal="center" vertical="center" wrapText="1"/>
    </xf>
    <xf numFmtId="0" fontId="221" fillId="0" borderId="0" xfId="0" applyFont="1"/>
    <xf numFmtId="3" fontId="50" fillId="25" borderId="0" xfId="0" applyNumberFormat="1" applyFont="1" applyFill="1" applyAlignment="1" applyProtection="1">
      <alignment horizontal="center" vertical="center"/>
    </xf>
    <xf numFmtId="40" fontId="74" fillId="0" borderId="325" xfId="0" applyNumberFormat="1" applyFont="1" applyFill="1" applyBorder="1" applyAlignment="1">
      <alignment vertical="center" wrapText="1"/>
    </xf>
    <xf numFmtId="3" fontId="27" fillId="0" borderId="386" xfId="25" applyNumberFormat="1" applyFont="1" applyFill="1" applyBorder="1" applyAlignment="1" applyProtection="1">
      <alignment horizontal="right" vertical="center" wrapText="1"/>
    </xf>
    <xf numFmtId="40" fontId="12" fillId="0" borderId="325" xfId="0" applyNumberFormat="1" applyFont="1" applyFill="1" applyBorder="1" applyAlignment="1">
      <alignment vertical="center" wrapText="1"/>
    </xf>
    <xf numFmtId="40" fontId="72" fillId="0" borderId="385" xfId="0" applyNumberFormat="1" applyFont="1" applyFill="1" applyBorder="1" applyAlignment="1">
      <alignment vertical="center" wrapText="1"/>
    </xf>
    <xf numFmtId="40" fontId="12" fillId="0" borderId="99" xfId="0" applyNumberFormat="1" applyFont="1" applyFill="1" applyBorder="1" applyAlignment="1">
      <alignment vertical="center" wrapText="1"/>
    </xf>
    <xf numFmtId="3" fontId="24" fillId="0" borderId="100" xfId="0" applyNumberFormat="1" applyFont="1" applyFill="1" applyBorder="1" applyAlignment="1">
      <alignment vertical="center"/>
    </xf>
    <xf numFmtId="3" fontId="32" fillId="0" borderId="100" xfId="0" applyNumberFormat="1" applyFont="1" applyFill="1" applyBorder="1" applyAlignment="1" applyProtection="1">
      <alignment horizontal="right" vertical="center"/>
      <protection locked="0"/>
    </xf>
    <xf numFmtId="3" fontId="32" fillId="0" borderId="102" xfId="0" applyNumberFormat="1" applyFont="1" applyFill="1" applyBorder="1" applyAlignment="1" applyProtection="1">
      <alignment horizontal="right" vertical="center"/>
      <protection locked="0"/>
    </xf>
    <xf numFmtId="3" fontId="24" fillId="0" borderId="297" xfId="0" applyNumberFormat="1" applyFont="1" applyFill="1" applyBorder="1" applyAlignment="1">
      <alignment vertical="center"/>
    </xf>
    <xf numFmtId="3" fontId="31" fillId="0" borderId="325" xfId="0" applyNumberFormat="1" applyFont="1" applyFill="1" applyBorder="1" applyAlignment="1">
      <alignment vertical="center" wrapText="1"/>
    </xf>
    <xf numFmtId="3" fontId="23" fillId="0" borderId="297" xfId="0" applyNumberFormat="1" applyFont="1" applyFill="1" applyBorder="1" applyAlignment="1">
      <alignment vertical="center"/>
    </xf>
    <xf numFmtId="3" fontId="26" fillId="0" borderId="297" xfId="0" applyNumberFormat="1" applyFont="1" applyFill="1" applyBorder="1" applyAlignment="1" applyProtection="1">
      <alignment horizontal="right" vertical="center"/>
      <protection locked="0"/>
    </xf>
    <xf numFmtId="3" fontId="26" fillId="0" borderId="298" xfId="0" applyNumberFormat="1" applyFont="1" applyFill="1" applyBorder="1" applyAlignment="1" applyProtection="1">
      <alignment horizontal="right" vertical="center"/>
      <protection locked="0"/>
    </xf>
    <xf numFmtId="3" fontId="56" fillId="0" borderId="325" xfId="0" applyNumberFormat="1" applyFont="1" applyFill="1" applyBorder="1" applyAlignment="1" applyProtection="1">
      <alignment horizontal="left" vertical="center" wrapText="1"/>
    </xf>
    <xf numFmtId="3" fontId="23" fillId="0" borderId="297" xfId="0" applyNumberFormat="1" applyFont="1" applyFill="1" applyBorder="1" applyAlignment="1" applyProtection="1">
      <alignment horizontal="left" vertical="center"/>
    </xf>
    <xf numFmtId="3" fontId="24" fillId="0" borderId="385" xfId="0" applyNumberFormat="1" applyFont="1" applyFill="1" applyBorder="1" applyAlignment="1">
      <alignment horizontal="left" vertical="center" wrapText="1"/>
    </xf>
    <xf numFmtId="4" fontId="12" fillId="0" borderId="325" xfId="0" applyNumberFormat="1" applyFont="1" applyFill="1" applyBorder="1" applyAlignment="1">
      <alignment vertical="center" wrapText="1"/>
    </xf>
    <xf numFmtId="3" fontId="44" fillId="0" borderId="100" xfId="0" applyNumberFormat="1" applyFont="1" applyFill="1" applyBorder="1" applyAlignment="1">
      <alignment vertical="center"/>
    </xf>
    <xf numFmtId="3" fontId="27" fillId="0" borderId="100" xfId="0" applyNumberFormat="1" applyFont="1" applyFill="1" applyBorder="1" applyAlignment="1" applyProtection="1">
      <alignment horizontal="right" vertical="center"/>
      <protection locked="0"/>
    </xf>
    <xf numFmtId="3" fontId="27" fillId="0" borderId="102" xfId="0" applyNumberFormat="1" applyFont="1" applyFill="1" applyBorder="1" applyAlignment="1" applyProtection="1">
      <alignment horizontal="right" vertical="center"/>
      <protection locked="0"/>
    </xf>
    <xf numFmtId="0" fontId="23" fillId="0" borderId="0" xfId="0" applyFont="1" applyFill="1" applyBorder="1" applyAlignment="1" applyProtection="1">
      <alignment horizontal="center" vertical="center" wrapText="1"/>
    </xf>
    <xf numFmtId="0" fontId="81" fillId="0" borderId="0" xfId="0" applyFont="1" applyFill="1" applyAlignment="1" applyProtection="1">
      <alignment vertical="center"/>
    </xf>
    <xf numFmtId="0" fontId="81" fillId="23" borderId="0" xfId="0" applyFont="1" applyFill="1" applyAlignment="1" applyProtection="1">
      <alignment vertical="center"/>
    </xf>
    <xf numFmtId="0" fontId="23" fillId="0" borderId="0" xfId="0" applyFont="1" applyFill="1" applyAlignment="1" applyProtection="1">
      <alignment vertical="center"/>
    </xf>
    <xf numFmtId="0" fontId="24" fillId="0" borderId="0" xfId="0" applyFont="1" applyFill="1" applyAlignment="1" applyProtection="1">
      <alignment vertical="center"/>
    </xf>
    <xf numFmtId="0" fontId="24" fillId="0" borderId="0" xfId="0" applyFont="1" applyAlignment="1" applyProtection="1">
      <alignment vertical="center"/>
    </xf>
    <xf numFmtId="0" fontId="56" fillId="0" borderId="384" xfId="0" applyFont="1" applyFill="1" applyBorder="1" applyAlignment="1" applyProtection="1">
      <alignment horizontal="center" vertical="center" wrapText="1"/>
    </xf>
    <xf numFmtId="0" fontId="31" fillId="0" borderId="384" xfId="0" applyFont="1" applyFill="1" applyBorder="1" applyAlignment="1" applyProtection="1">
      <alignment horizontal="center" vertical="center" wrapText="1"/>
    </xf>
    <xf numFmtId="0" fontId="41" fillId="0" borderId="384" xfId="0" applyFont="1" applyFill="1" applyBorder="1" applyAlignment="1" applyProtection="1">
      <alignment horizontal="center" vertical="center" wrapText="1"/>
    </xf>
    <xf numFmtId="0" fontId="48" fillId="0" borderId="398" xfId="0" applyFont="1" applyFill="1" applyBorder="1" applyAlignment="1" applyProtection="1">
      <alignment horizontal="center" vertical="center" wrapText="1"/>
    </xf>
    <xf numFmtId="0" fontId="48" fillId="0" borderId="384" xfId="0" applyFont="1" applyFill="1" applyBorder="1" applyAlignment="1" applyProtection="1">
      <alignment horizontal="center" vertical="center" wrapText="1"/>
    </xf>
    <xf numFmtId="0" fontId="23" fillId="0" borderId="384" xfId="0" applyFont="1" applyFill="1" applyBorder="1" applyAlignment="1" applyProtection="1">
      <alignment horizontal="center" vertical="center" wrapText="1"/>
    </xf>
    <xf numFmtId="49" fontId="23" fillId="0" borderId="384" xfId="0" applyNumberFormat="1" applyFont="1" applyFill="1" applyBorder="1" applyAlignment="1" applyProtection="1">
      <alignment horizontal="center" vertical="center" wrapText="1"/>
    </xf>
    <xf numFmtId="49" fontId="115" fillId="0" borderId="384" xfId="0" applyNumberFormat="1" applyFont="1" applyFill="1" applyBorder="1" applyAlignment="1" applyProtection="1">
      <alignment horizontal="center" vertical="center" wrapText="1"/>
    </xf>
    <xf numFmtId="0" fontId="115" fillId="0" borderId="384" xfId="0" applyFont="1" applyFill="1" applyBorder="1" applyAlignment="1" applyProtection="1">
      <alignment horizontal="center" vertical="center" wrapText="1"/>
    </xf>
    <xf numFmtId="0" fontId="23" fillId="0" borderId="384" xfId="0" applyFont="1" applyFill="1" applyBorder="1" applyAlignment="1" applyProtection="1">
      <alignment horizontal="center" vertical="center"/>
    </xf>
    <xf numFmtId="0" fontId="23" fillId="0" borderId="387" xfId="0" applyFont="1" applyFill="1" applyBorder="1" applyAlignment="1" applyProtection="1">
      <alignment horizontal="center" vertical="center" wrapText="1"/>
    </xf>
    <xf numFmtId="49" fontId="31" fillId="0" borderId="398" xfId="0" applyNumberFormat="1" applyFont="1" applyFill="1" applyBorder="1" applyAlignment="1" applyProtection="1">
      <alignment vertical="center" wrapText="1"/>
    </xf>
    <xf numFmtId="49" fontId="23" fillId="0" borderId="384" xfId="0" applyNumberFormat="1" applyFont="1" applyFill="1" applyBorder="1" applyAlignment="1" applyProtection="1">
      <alignment horizontal="left" vertical="center"/>
    </xf>
    <xf numFmtId="3" fontId="31" fillId="0" borderId="325" xfId="0" applyNumberFormat="1" applyFont="1" applyFill="1" applyBorder="1" applyAlignment="1" applyProtection="1">
      <alignment vertical="center" wrapText="1"/>
    </xf>
    <xf numFmtId="3" fontId="12" fillId="0" borderId="325" xfId="0" applyNumberFormat="1" applyFont="1" applyFill="1" applyBorder="1" applyAlignment="1">
      <alignment vertical="center" wrapText="1"/>
    </xf>
    <xf numFmtId="3" fontId="79" fillId="0" borderId="325" xfId="0" applyNumberFormat="1" applyFont="1" applyFill="1" applyBorder="1" applyAlignment="1" applyProtection="1">
      <alignment vertical="center" wrapText="1"/>
    </xf>
    <xf numFmtId="3" fontId="32" fillId="0" borderId="386" xfId="0" applyNumberFormat="1" applyFont="1" applyFill="1" applyBorder="1" applyAlignment="1" applyProtection="1">
      <alignment horizontal="right" vertical="center" wrapText="1"/>
    </xf>
    <xf numFmtId="40" fontId="44" fillId="0" borderId="325" xfId="0" applyNumberFormat="1" applyFont="1" applyFill="1" applyBorder="1" applyAlignment="1">
      <alignment vertical="center" wrapText="1"/>
    </xf>
    <xf numFmtId="3" fontId="41" fillId="0" borderId="325" xfId="0" applyNumberFormat="1" applyFont="1" applyFill="1" applyBorder="1" applyAlignment="1">
      <alignment vertical="center" wrapText="1"/>
    </xf>
    <xf numFmtId="3" fontId="123" fillId="0" borderId="325" xfId="0" applyNumberFormat="1" applyFont="1" applyFill="1" applyBorder="1" applyAlignment="1">
      <alignment vertical="center" wrapText="1"/>
    </xf>
    <xf numFmtId="3" fontId="123" fillId="0" borderId="385" xfId="0" applyNumberFormat="1" applyFont="1" applyFill="1" applyBorder="1" applyAlignment="1">
      <alignment vertical="center" wrapText="1"/>
    </xf>
    <xf numFmtId="3" fontId="134" fillId="0" borderId="386" xfId="0" applyNumberFormat="1" applyFont="1" applyFill="1" applyBorder="1" applyAlignment="1">
      <alignment vertical="center"/>
    </xf>
    <xf numFmtId="3" fontId="27" fillId="0" borderId="100" xfId="0" applyNumberFormat="1" applyFont="1" applyFill="1" applyBorder="1" applyAlignment="1" applyProtection="1">
      <alignment horizontal="right" vertical="center" wrapText="1"/>
      <protection locked="0"/>
    </xf>
    <xf numFmtId="3" fontId="27" fillId="0" borderId="100" xfId="0" applyNumberFormat="1" applyFont="1" applyFill="1" applyBorder="1" applyAlignment="1" applyProtection="1">
      <alignment horizontal="right" vertical="center" wrapText="1"/>
    </xf>
    <xf numFmtId="3" fontId="27" fillId="0" borderId="100" xfId="0" applyNumberFormat="1" applyFont="1" applyFill="1" applyBorder="1" applyAlignment="1" applyProtection="1">
      <alignment horizontal="right" vertical="center"/>
    </xf>
    <xf numFmtId="49" fontId="23" fillId="0" borderId="398" xfId="0" applyNumberFormat="1" applyFont="1" applyFill="1" applyBorder="1" applyAlignment="1">
      <alignment vertical="center" wrapText="1"/>
    </xf>
    <xf numFmtId="0" fontId="23" fillId="0" borderId="398" xfId="0" applyFont="1" applyFill="1" applyBorder="1" applyAlignment="1">
      <alignment vertical="center" wrapText="1"/>
    </xf>
    <xf numFmtId="3" fontId="12" fillId="0" borderId="99" xfId="0" applyNumberFormat="1" applyFont="1" applyFill="1" applyBorder="1" applyAlignment="1">
      <alignment vertical="center" wrapText="1"/>
    </xf>
    <xf numFmtId="3" fontId="17" fillId="0" borderId="409" xfId="0" applyNumberFormat="1" applyFont="1" applyBorder="1" applyAlignment="1" applyProtection="1">
      <alignment vertical="center"/>
      <protection locked="0"/>
    </xf>
    <xf numFmtId="3" fontId="59" fillId="0" borderId="384" xfId="0" applyNumberFormat="1" applyFont="1" applyBorder="1" applyAlignment="1" applyProtection="1">
      <alignment vertical="center"/>
      <protection locked="0"/>
    </xf>
    <xf numFmtId="3" fontId="59" fillId="0" borderId="387" xfId="0" applyNumberFormat="1" applyFont="1" applyBorder="1" applyAlignment="1" applyProtection="1">
      <alignment vertical="center"/>
      <protection locked="0"/>
    </xf>
    <xf numFmtId="3" fontId="27" fillId="0" borderId="411" xfId="53" applyNumberFormat="1" applyFont="1" applyBorder="1" applyAlignment="1" applyProtection="1">
      <alignment horizontal="right" vertical="center"/>
      <protection locked="0"/>
    </xf>
    <xf numFmtId="3" fontId="0" fillId="0" borderId="411" xfId="0" applyNumberFormat="1" applyFill="1" applyBorder="1" applyAlignment="1" applyProtection="1">
      <alignment horizontal="right" vertical="center"/>
      <protection locked="0"/>
    </xf>
    <xf numFmtId="3" fontId="0" fillId="0" borderId="411" xfId="0" applyNumberFormat="1" applyFill="1" applyBorder="1" applyAlignment="1" applyProtection="1">
      <alignment vertical="center"/>
      <protection locked="0"/>
    </xf>
    <xf numFmtId="3" fontId="0" fillId="0" borderId="412" xfId="0" applyNumberFormat="1" applyFill="1" applyBorder="1" applyAlignment="1" applyProtection="1">
      <alignment vertical="center"/>
      <protection locked="0"/>
    </xf>
    <xf numFmtId="3" fontId="13" fillId="0" borderId="358" xfId="0" applyNumberFormat="1" applyFont="1" applyFill="1" applyBorder="1" applyAlignment="1" applyProtection="1">
      <alignment horizontal="right" vertical="center" wrapText="1"/>
      <protection locked="0"/>
    </xf>
    <xf numFmtId="3" fontId="13" fillId="0" borderId="355" xfId="0" applyNumberFormat="1" applyFont="1" applyFill="1" applyBorder="1" applyAlignment="1" applyProtection="1">
      <alignment horizontal="right" vertical="center" wrapText="1"/>
      <protection locked="0"/>
    </xf>
    <xf numFmtId="3" fontId="13" fillId="0" borderId="72" xfId="0" applyNumberFormat="1" applyFont="1" applyFill="1" applyBorder="1" applyAlignment="1" applyProtection="1">
      <alignment horizontal="right" vertical="center" wrapText="1"/>
      <protection locked="0"/>
    </xf>
    <xf numFmtId="3" fontId="13" fillId="0" borderId="358" xfId="0" applyNumberFormat="1" applyFont="1" applyFill="1" applyBorder="1" applyAlignment="1" applyProtection="1">
      <alignment vertical="center" wrapText="1"/>
      <protection locked="0"/>
    </xf>
    <xf numFmtId="3" fontId="59" fillId="0" borderId="369" xfId="0" applyNumberFormat="1" applyFont="1" applyFill="1" applyBorder="1" applyAlignment="1" applyProtection="1">
      <alignment vertical="center"/>
      <protection locked="0"/>
    </xf>
    <xf numFmtId="3" fontId="59" fillId="0" borderId="387" xfId="0" applyNumberFormat="1" applyFont="1" applyFill="1" applyBorder="1" applyAlignment="1" applyProtection="1">
      <alignment horizontal="right" vertical="center"/>
      <protection locked="0"/>
    </xf>
    <xf numFmtId="3" fontId="59" fillId="0" borderId="358" xfId="0" applyNumberFormat="1" applyFont="1" applyFill="1" applyBorder="1" applyAlignment="1" applyProtection="1">
      <alignment horizontal="right" vertical="center"/>
      <protection locked="0"/>
    </xf>
    <xf numFmtId="3" fontId="0" fillId="0" borderId="412" xfId="0" applyNumberFormat="1" applyFill="1" applyBorder="1" applyAlignment="1" applyProtection="1">
      <alignment horizontal="right" vertical="center"/>
      <protection locked="0"/>
    </xf>
    <xf numFmtId="3" fontId="32" fillId="0" borderId="413" xfId="0" applyNumberFormat="1" applyFont="1" applyBorder="1" applyAlignment="1" applyProtection="1">
      <alignment horizontal="right" vertical="center"/>
      <protection locked="0"/>
    </xf>
    <xf numFmtId="3" fontId="32" fillId="0" borderId="414" xfId="0" applyNumberFormat="1" applyFont="1" applyFill="1" applyBorder="1" applyAlignment="1" applyProtection="1">
      <alignment horizontal="right" vertical="center"/>
      <protection locked="0"/>
    </xf>
    <xf numFmtId="3" fontId="27" fillId="0" borderId="414" xfId="0" applyNumberFormat="1" applyFont="1" applyFill="1" applyBorder="1" applyAlignment="1" applyProtection="1">
      <alignment horizontal="right" vertical="center"/>
      <protection locked="0"/>
    </xf>
    <xf numFmtId="3" fontId="27" fillId="0" borderId="415" xfId="0" applyNumberFormat="1" applyFont="1" applyFill="1" applyBorder="1" applyAlignment="1" applyProtection="1">
      <alignment horizontal="right" vertical="center"/>
      <protection locked="0"/>
    </xf>
    <xf numFmtId="3" fontId="27" fillId="0" borderId="414" xfId="25" applyNumberFormat="1" applyFont="1" applyFill="1" applyBorder="1" applyAlignment="1" applyProtection="1">
      <alignment horizontal="right" vertical="center" wrapText="1"/>
      <protection locked="0"/>
    </xf>
    <xf numFmtId="3" fontId="27" fillId="0" borderId="414" xfId="25" applyNumberFormat="1" applyFont="1" applyFill="1" applyBorder="1" applyAlignment="1" applyProtection="1">
      <alignment horizontal="right" vertical="center"/>
      <protection locked="0"/>
    </xf>
    <xf numFmtId="3" fontId="59" fillId="0" borderId="416" xfId="0" applyNumberFormat="1" applyFont="1" applyBorder="1" applyAlignment="1" applyProtection="1">
      <alignment vertical="center"/>
      <protection locked="0"/>
    </xf>
    <xf numFmtId="3" fontId="161" fillId="0" borderId="414" xfId="22" applyNumberFormat="1" applyFont="1" applyBorder="1" applyAlignment="1" applyProtection="1">
      <alignment horizontal="right" vertical="center" wrapText="1"/>
      <protection locked="0"/>
    </xf>
    <xf numFmtId="3" fontId="161" fillId="0" borderId="415" xfId="22" applyNumberFormat="1" applyFont="1" applyBorder="1" applyAlignment="1" applyProtection="1">
      <alignment horizontal="right" vertical="center" wrapText="1"/>
      <protection locked="0"/>
    </xf>
    <xf numFmtId="3" fontId="17" fillId="0" borderId="417" xfId="22" applyNumberFormat="1" applyFont="1" applyBorder="1" applyAlignment="1" applyProtection="1">
      <alignment horizontal="right" vertical="center"/>
      <protection locked="0"/>
    </xf>
    <xf numFmtId="3" fontId="59" fillId="0" borderId="298" xfId="22" applyNumberFormat="1" applyFont="1" applyBorder="1" applyAlignment="1" applyProtection="1">
      <alignment horizontal="right" vertical="center"/>
      <protection locked="0"/>
    </xf>
    <xf numFmtId="3" fontId="211" fillId="0" borderId="414" xfId="73" applyNumberFormat="1" applyFont="1" applyFill="1" applyBorder="1" applyAlignment="1" applyProtection="1">
      <alignment horizontal="right" wrapText="1"/>
    </xf>
    <xf numFmtId="0" fontId="79" fillId="0" borderId="0" xfId="0" applyFont="1" applyFill="1" applyAlignment="1" applyProtection="1">
      <alignment horizontal="center"/>
      <protection locked="0"/>
    </xf>
    <xf numFmtId="0" fontId="29" fillId="0" borderId="0" xfId="0" applyFont="1" applyAlignment="1" applyProtection="1">
      <alignment horizontal="center"/>
      <protection locked="0"/>
    </xf>
    <xf numFmtId="0" fontId="17" fillId="0" borderId="0" xfId="0" applyFont="1" applyBorder="1" applyAlignment="1" applyProtection="1">
      <alignment horizontal="center"/>
    </xf>
    <xf numFmtId="1" fontId="21" fillId="0" borderId="129" xfId="0" applyNumberFormat="1" applyFont="1" applyBorder="1" applyAlignment="1" applyProtection="1">
      <alignment horizontal="center" vertical="center" wrapText="1"/>
    </xf>
    <xf numFmtId="2" fontId="16" fillId="0" borderId="0" xfId="0" applyNumberFormat="1" applyFont="1" applyFill="1" applyBorder="1" applyAlignment="1" applyProtection="1">
      <alignment horizontal="left"/>
      <protection locked="0"/>
    </xf>
    <xf numFmtId="2" fontId="11" fillId="0" borderId="0" xfId="0" applyNumberFormat="1" applyFont="1" applyBorder="1" applyAlignment="1" applyProtection="1">
      <alignment horizontal="left"/>
      <protection locked="0"/>
    </xf>
    <xf numFmtId="2" fontId="0" fillId="0" borderId="0" xfId="0" applyNumberFormat="1" applyFont="1" applyBorder="1" applyAlignment="1" applyProtection="1">
      <alignment horizontal="left"/>
      <protection locked="0"/>
    </xf>
    <xf numFmtId="2" fontId="0" fillId="0" borderId="0" xfId="0" applyNumberFormat="1" applyBorder="1" applyAlignment="1" applyProtection="1">
      <alignment horizontal="center"/>
    </xf>
    <xf numFmtId="0" fontId="29" fillId="0" borderId="0" xfId="0" applyFont="1" applyBorder="1" applyAlignment="1" applyProtection="1">
      <alignment horizontal="center"/>
    </xf>
    <xf numFmtId="0" fontId="38" fillId="0" borderId="42" xfId="0" applyFont="1" applyBorder="1" applyAlignment="1" applyProtection="1">
      <alignment horizontal="center" vertical="center" wrapText="1"/>
    </xf>
    <xf numFmtId="49" fontId="21" fillId="0" borderId="59" xfId="0" applyNumberFormat="1" applyFont="1" applyBorder="1" applyAlignment="1" applyProtection="1">
      <alignment horizontal="center" vertical="center" wrapText="1"/>
    </xf>
    <xf numFmtId="0" fontId="21" fillId="0" borderId="42" xfId="0" applyFont="1" applyBorder="1" applyAlignment="1" applyProtection="1">
      <alignment horizontal="center" vertical="center" wrapText="1"/>
    </xf>
    <xf numFmtId="0" fontId="21" fillId="0" borderId="130" xfId="0" applyFont="1" applyBorder="1" applyAlignment="1" applyProtection="1">
      <alignment horizontal="center" vertical="center" wrapText="1"/>
    </xf>
    <xf numFmtId="2" fontId="16" fillId="0" borderId="0" xfId="0" applyNumberFormat="1" applyFont="1" applyFill="1" applyBorder="1" applyAlignment="1" applyProtection="1">
      <alignment horizontal="left"/>
    </xf>
    <xf numFmtId="0" fontId="29" fillId="0" borderId="0" xfId="0" applyFont="1" applyBorder="1" applyAlignment="1" applyProtection="1">
      <alignment horizontal="center" vertical="center"/>
    </xf>
    <xf numFmtId="0" fontId="31" fillId="0" borderId="282" xfId="0" applyFont="1" applyBorder="1" applyAlignment="1" applyProtection="1">
      <alignment horizontal="center" vertical="center" wrapText="1"/>
    </xf>
    <xf numFmtId="0" fontId="31" fillId="0" borderId="350" xfId="0" applyFont="1" applyBorder="1" applyAlignment="1" applyProtection="1">
      <alignment horizontal="center" vertical="center" wrapText="1"/>
    </xf>
    <xf numFmtId="49" fontId="31" fillId="0" borderId="138" xfId="0" applyNumberFormat="1" applyFont="1" applyBorder="1" applyAlignment="1" applyProtection="1">
      <alignment horizontal="center" vertical="center" wrapText="1"/>
    </xf>
    <xf numFmtId="49" fontId="31" fillId="0" borderId="2" xfId="0" applyNumberFormat="1" applyFont="1" applyBorder="1" applyAlignment="1" applyProtection="1">
      <alignment horizontal="center" vertical="center" wrapText="1"/>
    </xf>
    <xf numFmtId="0" fontId="31" fillId="0" borderId="146" xfId="0" applyFont="1" applyBorder="1" applyAlignment="1" applyProtection="1">
      <alignment horizontal="center" vertical="top" wrapText="1"/>
    </xf>
    <xf numFmtId="0" fontId="31" fillId="0" borderId="3" xfId="0" applyFont="1" applyBorder="1" applyAlignment="1" applyProtection="1">
      <alignment horizontal="center" vertical="top" wrapText="1"/>
    </xf>
    <xf numFmtId="49" fontId="31" fillId="0" borderId="146" xfId="0" applyNumberFormat="1" applyFont="1" applyBorder="1" applyAlignment="1" applyProtection="1">
      <alignment horizontal="center" vertical="center" wrapText="1"/>
    </xf>
    <xf numFmtId="49" fontId="31" fillId="0" borderId="3" xfId="0" applyNumberFormat="1" applyFont="1" applyBorder="1" applyAlignment="1" applyProtection="1">
      <alignment horizontal="center" vertical="center" wrapText="1"/>
    </xf>
    <xf numFmtId="3" fontId="31" fillId="0" borderId="333" xfId="0" applyNumberFormat="1" applyFont="1" applyBorder="1" applyAlignment="1" applyProtection="1">
      <alignment horizontal="center" vertical="center" wrapText="1"/>
    </xf>
    <xf numFmtId="3" fontId="31" fillId="0" borderId="334" xfId="0" applyNumberFormat="1" applyFont="1" applyBorder="1" applyAlignment="1" applyProtection="1">
      <alignment horizontal="center" vertical="center" wrapText="1"/>
    </xf>
    <xf numFmtId="0" fontId="79" fillId="0" borderId="0" xfId="0" applyFont="1" applyAlignment="1" applyProtection="1">
      <alignment horizontal="center"/>
      <protection locked="0"/>
    </xf>
    <xf numFmtId="3" fontId="29" fillId="0" borderId="0" xfId="0" applyNumberFormat="1" applyFont="1" applyAlignment="1" applyProtection="1">
      <alignment horizontal="center"/>
    </xf>
    <xf numFmtId="0" fontId="29" fillId="0" borderId="0" xfId="0" applyFont="1" applyFill="1" applyBorder="1" applyAlignment="1" applyProtection="1">
      <alignment horizontal="center"/>
    </xf>
    <xf numFmtId="0" fontId="172" fillId="0" borderId="0" xfId="0" applyFont="1" applyFill="1" applyAlignment="1">
      <alignment horizontal="left"/>
    </xf>
    <xf numFmtId="0" fontId="79" fillId="0" borderId="0" xfId="0" applyFont="1" applyFill="1" applyAlignment="1" applyProtection="1">
      <alignment horizontal="center"/>
    </xf>
    <xf numFmtId="2" fontId="26" fillId="0" borderId="0" xfId="0" applyNumberFormat="1" applyFont="1" applyFill="1" applyAlignment="1" applyProtection="1">
      <alignment horizontal="center"/>
    </xf>
    <xf numFmtId="0" fontId="26" fillId="0" borderId="0" xfId="0" applyFont="1" applyFill="1" applyAlignment="1" applyProtection="1">
      <alignment horizontal="center"/>
    </xf>
    <xf numFmtId="0" fontId="41" fillId="0" borderId="0" xfId="0" applyFont="1" applyFill="1" applyBorder="1" applyAlignment="1" applyProtection="1">
      <alignment horizontal="center"/>
    </xf>
    <xf numFmtId="0" fontId="63" fillId="0" borderId="0" xfId="0" applyFont="1" applyFill="1" applyAlignment="1" applyProtection="1">
      <alignment horizontal="center"/>
    </xf>
    <xf numFmtId="0" fontId="29" fillId="0" borderId="0" xfId="0" applyFont="1" applyFill="1" applyAlignment="1" applyProtection="1">
      <alignment horizontal="center"/>
    </xf>
    <xf numFmtId="3" fontId="29" fillId="0" borderId="0" xfId="0" applyNumberFormat="1" applyFont="1" applyFill="1" applyAlignment="1" applyProtection="1">
      <alignment horizontal="center"/>
    </xf>
    <xf numFmtId="0" fontId="41" fillId="0" borderId="0" xfId="0" applyFont="1" applyFill="1" applyAlignment="1" applyProtection="1">
      <alignment horizontal="center"/>
    </xf>
    <xf numFmtId="0" fontId="16" fillId="0" borderId="0" xfId="22" applyFont="1" applyBorder="1" applyAlignment="1" applyProtection="1">
      <alignment horizontal="center"/>
    </xf>
    <xf numFmtId="0" fontId="54" fillId="0" borderId="0" xfId="0" applyFont="1" applyFill="1" applyBorder="1" applyAlignment="1" applyProtection="1">
      <alignment horizontal="center"/>
    </xf>
    <xf numFmtId="0" fontId="29" fillId="0" borderId="0" xfId="22" applyNumberFormat="1" applyFont="1" applyFill="1" applyAlignment="1" applyProtection="1">
      <alignment horizontal="center" vertical="center"/>
      <protection locked="0"/>
    </xf>
    <xf numFmtId="0" fontId="16" fillId="0" borderId="0" xfId="22" applyFont="1" applyAlignment="1" applyProtection="1">
      <alignment horizontal="center"/>
    </xf>
    <xf numFmtId="0" fontId="79" fillId="0" borderId="0" xfId="0" applyFont="1" applyAlignment="1" applyProtection="1">
      <alignment horizontal="center"/>
    </xf>
    <xf numFmtId="0" fontId="17" fillId="0" borderId="0" xfId="0" applyFont="1" applyAlignment="1" applyProtection="1">
      <alignment horizontal="center"/>
    </xf>
    <xf numFmtId="2" fontId="17" fillId="0" borderId="0" xfId="0" applyNumberFormat="1" applyFont="1" applyFill="1" applyBorder="1" applyAlignment="1" applyProtection="1">
      <alignment horizontal="left"/>
    </xf>
    <xf numFmtId="0" fontId="26" fillId="0" borderId="0" xfId="0" applyNumberFormat="1" applyFont="1" applyBorder="1" applyAlignment="1" applyProtection="1">
      <alignment horizontal="center" vertical="top"/>
    </xf>
    <xf numFmtId="49" fontId="26" fillId="0" borderId="265" xfId="0" applyNumberFormat="1" applyFont="1" applyBorder="1" applyAlignment="1" applyProtection="1">
      <alignment horizontal="center" vertical="center" wrapText="1"/>
    </xf>
    <xf numFmtId="0" fontId="26" fillId="0" borderId="265" xfId="0" applyFont="1" applyBorder="1" applyAlignment="1" applyProtection="1">
      <alignment horizontal="center" vertical="center" wrapText="1"/>
    </xf>
    <xf numFmtId="2" fontId="26" fillId="0" borderId="0" xfId="0" applyNumberFormat="1" applyFont="1" applyAlignment="1" applyProtection="1">
      <alignment horizontal="center"/>
      <protection locked="0"/>
    </xf>
    <xf numFmtId="0" fontId="26" fillId="0" borderId="0" xfId="0" applyFont="1" applyAlignment="1" applyProtection="1">
      <alignment horizontal="center"/>
      <protection locked="0"/>
    </xf>
    <xf numFmtId="0" fontId="63" fillId="0" borderId="0" xfId="0" applyFont="1" applyAlignment="1" applyProtection="1">
      <alignment horizontal="center"/>
      <protection locked="0"/>
    </xf>
    <xf numFmtId="0" fontId="31" fillId="0" borderId="0" xfId="37" applyNumberFormat="1" applyFont="1" applyFill="1" applyBorder="1" applyAlignment="1" applyProtection="1">
      <alignment horizontal="center" vertical="center" wrapText="1"/>
    </xf>
    <xf numFmtId="4" fontId="31" fillId="0" borderId="0" xfId="37" applyNumberFormat="1" applyFont="1" applyFill="1" applyBorder="1" applyAlignment="1" applyProtection="1">
      <alignment horizontal="center" vertical="center" wrapText="1"/>
    </xf>
    <xf numFmtId="0" fontId="58" fillId="0" borderId="0" xfId="37" applyFont="1" applyFill="1" applyBorder="1" applyAlignment="1" applyProtection="1">
      <alignment horizontal="center" vertical="center"/>
    </xf>
    <xf numFmtId="0" fontId="13" fillId="0" borderId="7" xfId="37" applyFont="1" applyFill="1" applyBorder="1" applyAlignment="1" applyProtection="1">
      <alignment horizontal="center" vertical="center"/>
    </xf>
    <xf numFmtId="0" fontId="44" fillId="0" borderId="28" xfId="37" applyFont="1" applyFill="1" applyBorder="1" applyAlignment="1" applyProtection="1">
      <alignment horizontal="center" vertical="center" textRotation="90" wrapText="1"/>
    </xf>
    <xf numFmtId="4" fontId="44" fillId="0" borderId="131" xfId="37" applyNumberFormat="1" applyFont="1" applyFill="1" applyBorder="1" applyAlignment="1" applyProtection="1">
      <alignment horizontal="center" vertical="center" textRotation="90" wrapText="1"/>
    </xf>
    <xf numFmtId="4" fontId="44" fillId="0" borderId="39" xfId="37" applyNumberFormat="1" applyFont="1" applyFill="1" applyBorder="1" applyAlignment="1" applyProtection="1">
      <alignment horizontal="center" vertical="center" textRotation="90" wrapText="1"/>
    </xf>
    <xf numFmtId="4" fontId="44" fillId="0" borderId="131" xfId="37" applyNumberFormat="1" applyFont="1" applyFill="1" applyBorder="1" applyAlignment="1" applyProtection="1">
      <alignment horizontal="right" textRotation="90" wrapText="1"/>
    </xf>
    <xf numFmtId="4" fontId="44" fillId="0" borderId="39" xfId="37" applyNumberFormat="1" applyFont="1" applyFill="1" applyBorder="1" applyAlignment="1" applyProtection="1">
      <alignment horizontal="right" textRotation="90" wrapText="1"/>
    </xf>
    <xf numFmtId="0" fontId="44" fillId="0" borderId="131" xfId="37" applyNumberFormat="1" applyFont="1" applyFill="1" applyBorder="1" applyAlignment="1" applyProtection="1">
      <alignment horizontal="center" textRotation="90" wrapText="1"/>
    </xf>
    <xf numFmtId="0" fontId="44" fillId="0" borderId="39" xfId="37" applyNumberFormat="1" applyFont="1" applyFill="1" applyBorder="1" applyAlignment="1" applyProtection="1">
      <alignment horizontal="center" textRotation="90" wrapText="1"/>
    </xf>
    <xf numFmtId="4" fontId="44" fillId="0" borderId="131" xfId="37" applyNumberFormat="1" applyFont="1" applyFill="1" applyBorder="1" applyAlignment="1" applyProtection="1">
      <alignment horizontal="center" textRotation="90" wrapText="1"/>
    </xf>
    <xf numFmtId="4" fontId="44" fillId="0" borderId="39" xfId="37" applyNumberFormat="1" applyFont="1" applyFill="1" applyBorder="1" applyAlignment="1" applyProtection="1">
      <alignment horizontal="center" textRotation="90" wrapText="1"/>
    </xf>
    <xf numFmtId="0" fontId="29" fillId="0" borderId="0" xfId="37" applyFont="1" applyAlignment="1" applyProtection="1">
      <alignment horizontal="center" wrapText="1"/>
    </xf>
    <xf numFmtId="0" fontId="29" fillId="0" borderId="0" xfId="37" applyFont="1" applyFill="1" applyBorder="1" applyAlignment="1" applyProtection="1">
      <alignment horizontal="center"/>
    </xf>
    <xf numFmtId="2" fontId="26" fillId="0" borderId="0" xfId="37" applyNumberFormat="1" applyFont="1" applyFill="1" applyBorder="1" applyAlignment="1" applyProtection="1">
      <alignment horizontal="center"/>
    </xf>
    <xf numFmtId="0" fontId="26" fillId="0" borderId="0" xfId="37" applyFont="1" applyFill="1" applyBorder="1" applyAlignment="1" applyProtection="1">
      <alignment horizontal="center"/>
    </xf>
    <xf numFmtId="0" fontId="29" fillId="0" borderId="0" xfId="37" applyFont="1" applyFill="1" applyBorder="1" applyAlignment="1" applyProtection="1">
      <alignment horizontal="center" vertical="center" wrapText="1"/>
    </xf>
    <xf numFmtId="4" fontId="29" fillId="0" borderId="0" xfId="37" applyNumberFormat="1" applyFont="1" applyFill="1" applyBorder="1" applyAlignment="1" applyProtection="1">
      <alignment horizontal="center"/>
    </xf>
    <xf numFmtId="4" fontId="79" fillId="0" borderId="0" xfId="37" applyNumberFormat="1" applyFont="1" applyFill="1" applyBorder="1" applyAlignment="1" applyProtection="1">
      <alignment horizontal="center"/>
    </xf>
    <xf numFmtId="0" fontId="63" fillId="0" borderId="0" xfId="37" applyFont="1" applyFill="1" applyBorder="1" applyAlignment="1" applyProtection="1">
      <alignment horizontal="center"/>
    </xf>
    <xf numFmtId="0" fontId="120" fillId="0" borderId="0" xfId="0" applyFont="1" applyFill="1" applyBorder="1" applyAlignment="1">
      <alignment horizontal="center"/>
    </xf>
    <xf numFmtId="0" fontId="159" fillId="0" borderId="132" xfId="0" applyFont="1" applyFill="1" applyBorder="1" applyAlignment="1">
      <alignment horizontal="center" vertical="center" wrapText="1"/>
    </xf>
    <xf numFmtId="0" fontId="159" fillId="0" borderId="142" xfId="0" applyFont="1" applyFill="1" applyBorder="1" applyAlignment="1">
      <alignment horizontal="center" vertical="center" wrapText="1"/>
    </xf>
    <xf numFmtId="0" fontId="154" fillId="0" borderId="119" xfId="0" applyFont="1" applyFill="1" applyBorder="1" applyAlignment="1">
      <alignment horizontal="center" vertical="center" wrapText="1"/>
    </xf>
    <xf numFmtId="0" fontId="154" fillId="0" borderId="43" xfId="0" applyFont="1" applyFill="1" applyBorder="1" applyAlignment="1">
      <alignment horizontal="center" vertical="center" wrapText="1"/>
    </xf>
    <xf numFmtId="0" fontId="154" fillId="0" borderId="143" xfId="0" applyFont="1" applyFill="1" applyBorder="1" applyAlignment="1">
      <alignment horizontal="center" vertical="center" wrapText="1"/>
    </xf>
    <xf numFmtId="0" fontId="154" fillId="0" borderId="3" xfId="0" applyFont="1" applyFill="1" applyBorder="1" applyAlignment="1">
      <alignment horizontal="center" vertical="center" wrapText="1"/>
    </xf>
    <xf numFmtId="0" fontId="159" fillId="0" borderId="135" xfId="0" applyFont="1" applyFill="1" applyBorder="1" applyAlignment="1">
      <alignment horizontal="center"/>
    </xf>
    <xf numFmtId="3" fontId="29" fillId="0" borderId="0" xfId="0" applyNumberFormat="1" applyFont="1" applyFill="1" applyAlignment="1" applyProtection="1">
      <alignment horizontal="center"/>
      <protection locked="0"/>
    </xf>
    <xf numFmtId="0" fontId="63" fillId="0" borderId="0" xfId="0" applyFont="1" applyFill="1" applyAlignment="1" applyProtection="1">
      <alignment horizontal="center"/>
      <protection locked="0"/>
    </xf>
    <xf numFmtId="0" fontId="154" fillId="0" borderId="119" xfId="0" applyFont="1" applyFill="1" applyBorder="1" applyAlignment="1">
      <alignment horizontal="center" vertical="center" textRotation="90" wrapText="1"/>
    </xf>
    <xf numFmtId="0" fontId="154" fillId="0" borderId="43" xfId="0" applyFont="1" applyFill="1" applyBorder="1" applyAlignment="1">
      <alignment horizontal="center" vertical="center" textRotation="90" wrapText="1"/>
    </xf>
    <xf numFmtId="0" fontId="154" fillId="0" borderId="144" xfId="0" applyFont="1" applyFill="1" applyBorder="1" applyAlignment="1">
      <alignment horizontal="center" vertical="center" wrapText="1"/>
    </xf>
    <xf numFmtId="0" fontId="154" fillId="0" borderId="137" xfId="0" applyFont="1" applyFill="1" applyBorder="1" applyAlignment="1">
      <alignment horizontal="center" vertical="center" wrapText="1"/>
    </xf>
    <xf numFmtId="0" fontId="0" fillId="0" borderId="0" xfId="0" applyFont="1" applyFill="1" applyBorder="1" applyAlignment="1">
      <alignment horizontal="left" wrapText="1"/>
    </xf>
    <xf numFmtId="2" fontId="29" fillId="0" borderId="0" xfId="0" applyNumberFormat="1" applyFont="1" applyFill="1" applyBorder="1" applyAlignment="1" applyProtection="1">
      <alignment horizontal="center"/>
    </xf>
    <xf numFmtId="0" fontId="79" fillId="0" borderId="0" xfId="25" applyFont="1" applyAlignment="1">
      <alignment horizontal="center"/>
    </xf>
    <xf numFmtId="2" fontId="26" fillId="0" borderId="0" xfId="25" applyNumberFormat="1" applyFont="1" applyAlignment="1">
      <alignment horizontal="center"/>
    </xf>
    <xf numFmtId="0" fontId="26" fillId="0" borderId="0" xfId="25" applyFont="1" applyAlignment="1">
      <alignment horizontal="center"/>
    </xf>
    <xf numFmtId="0" fontId="17" fillId="0" borderId="0" xfId="25" applyFont="1" applyAlignment="1">
      <alignment horizontal="center"/>
    </xf>
    <xf numFmtId="0" fontId="63" fillId="0" borderId="0" xfId="25" applyFont="1" applyAlignment="1">
      <alignment horizontal="center"/>
    </xf>
    <xf numFmtId="0" fontId="147" fillId="0" borderId="145" xfId="25" applyFont="1" applyFill="1" applyBorder="1" applyAlignment="1">
      <alignment horizontal="center" vertical="center" wrapText="1"/>
    </xf>
    <xf numFmtId="0" fontId="147" fillId="0" borderId="140" xfId="25" applyFont="1" applyFill="1" applyBorder="1" applyAlignment="1">
      <alignment horizontal="center" vertical="center" wrapText="1"/>
    </xf>
    <xf numFmtId="0" fontId="139" fillId="0" borderId="0" xfId="25" applyFont="1" applyFill="1" applyBorder="1" applyAlignment="1">
      <alignment horizontal="left" wrapText="1"/>
    </xf>
    <xf numFmtId="0" fontId="147" fillId="0" borderId="146" xfId="25" applyFont="1" applyFill="1" applyBorder="1" applyAlignment="1">
      <alignment horizontal="center" vertical="center" wrapText="1"/>
    </xf>
    <xf numFmtId="0" fontId="147" fillId="0" borderId="3" xfId="25" applyFont="1" applyFill="1" applyBorder="1" applyAlignment="1">
      <alignment horizontal="center" vertical="center" wrapText="1"/>
    </xf>
    <xf numFmtId="0" fontId="148" fillId="0" borderId="147" xfId="25" applyFont="1" applyFill="1" applyBorder="1" applyAlignment="1">
      <alignment horizontal="center"/>
    </xf>
    <xf numFmtId="2" fontId="16" fillId="0" borderId="0" xfId="25" applyNumberFormat="1" applyFont="1" applyAlignment="1">
      <alignment horizontal="left"/>
    </xf>
    <xf numFmtId="0" fontId="120" fillId="0" borderId="0" xfId="25" applyFont="1" applyBorder="1" applyAlignment="1">
      <alignment horizontal="center"/>
    </xf>
    <xf numFmtId="0" fontId="146" fillId="0" borderId="148" xfId="25" applyFont="1" applyFill="1" applyBorder="1" applyAlignment="1">
      <alignment horizontal="center" vertical="center" wrapText="1"/>
    </xf>
    <xf numFmtId="0" fontId="146" fillId="0" borderId="149" xfId="25" applyFont="1" applyFill="1" applyBorder="1" applyAlignment="1">
      <alignment horizontal="center" vertical="center" wrapText="1"/>
    </xf>
    <xf numFmtId="3" fontId="79" fillId="0" borderId="0" xfId="0" applyNumberFormat="1" applyFont="1" applyFill="1" applyAlignment="1" applyProtection="1">
      <alignment horizontal="center"/>
    </xf>
    <xf numFmtId="0" fontId="16" fillId="0" borderId="0" xfId="0" applyFont="1" applyFill="1" applyAlignment="1" applyProtection="1">
      <alignment horizontal="center"/>
    </xf>
    <xf numFmtId="0" fontId="72" fillId="0" borderId="29" xfId="0" applyFont="1" applyFill="1" applyBorder="1" applyAlignment="1" applyProtection="1">
      <alignment horizontal="left" vertical="center"/>
    </xf>
    <xf numFmtId="0" fontId="16" fillId="0" borderId="0" xfId="0" applyFont="1" applyFill="1" applyAlignment="1" applyProtection="1">
      <alignment horizontal="center" vertical="center"/>
    </xf>
    <xf numFmtId="2" fontId="16" fillId="0" borderId="148" xfId="0" applyNumberFormat="1" applyFont="1" applyFill="1" applyBorder="1" applyAlignment="1" applyProtection="1">
      <alignment horizontal="center" vertical="center" wrapText="1"/>
    </xf>
    <xf numFmtId="2" fontId="16" fillId="0" borderId="320" xfId="0" applyNumberFormat="1" applyFont="1" applyFill="1" applyBorder="1" applyAlignment="1" applyProtection="1">
      <alignment horizontal="center" vertical="center" wrapText="1"/>
    </xf>
    <xf numFmtId="0" fontId="16" fillId="0" borderId="147" xfId="0" applyFont="1" applyFill="1" applyBorder="1" applyAlignment="1" applyProtection="1">
      <alignment horizontal="center" vertical="center" wrapText="1"/>
    </xf>
    <xf numFmtId="0" fontId="16" fillId="0" borderId="321" xfId="0" applyFont="1" applyFill="1" applyBorder="1" applyAlignment="1" applyProtection="1">
      <alignment horizontal="center" vertical="center" wrapText="1"/>
    </xf>
    <xf numFmtId="0" fontId="16" fillId="0" borderId="146" xfId="0" applyFont="1" applyFill="1" applyBorder="1" applyAlignment="1" applyProtection="1">
      <alignment horizontal="center" vertical="center" wrapText="1"/>
    </xf>
    <xf numFmtId="0" fontId="16" fillId="0" borderId="322" xfId="0" applyFont="1" applyFill="1" applyBorder="1" applyAlignment="1" applyProtection="1">
      <alignment horizontal="center" vertical="center" wrapText="1"/>
    </xf>
    <xf numFmtId="1" fontId="63" fillId="0" borderId="0" xfId="0" applyNumberFormat="1" applyFont="1" applyFill="1" applyAlignment="1" applyProtection="1">
      <alignment horizontal="center"/>
      <protection locked="0"/>
    </xf>
    <xf numFmtId="1" fontId="29" fillId="0" borderId="0" xfId="0" applyNumberFormat="1" applyFont="1" applyFill="1" applyAlignment="1" applyProtection="1">
      <alignment horizontal="center"/>
      <protection locked="0"/>
    </xf>
    <xf numFmtId="1" fontId="79" fillId="0" borderId="0" xfId="0" applyNumberFormat="1" applyFont="1" applyFill="1" applyAlignment="1" applyProtection="1">
      <alignment horizontal="center"/>
      <protection locked="0"/>
    </xf>
    <xf numFmtId="1" fontId="26" fillId="0" borderId="0" xfId="0" applyNumberFormat="1" applyFont="1" applyFill="1" applyAlignment="1" applyProtection="1">
      <alignment horizontal="center"/>
      <protection locked="0"/>
    </xf>
    <xf numFmtId="1" fontId="29" fillId="0" borderId="0" xfId="0" applyNumberFormat="1" applyFont="1" applyFill="1" applyBorder="1" applyAlignment="1" applyProtection="1">
      <alignment horizontal="center"/>
    </xf>
    <xf numFmtId="0" fontId="29"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horizontal="left"/>
    </xf>
    <xf numFmtId="1" fontId="41" fillId="0" borderId="0" xfId="0" applyNumberFormat="1" applyFont="1" applyFill="1" applyBorder="1" applyAlignment="1" applyProtection="1">
      <alignment horizontal="center"/>
    </xf>
    <xf numFmtId="1" fontId="31" fillId="0" borderId="99" xfId="0" applyNumberFormat="1" applyFont="1" applyFill="1" applyBorder="1" applyAlignment="1" applyProtection="1">
      <alignment horizontal="center" vertical="center" wrapText="1"/>
    </xf>
    <xf numFmtId="1" fontId="31" fillId="0" borderId="385" xfId="0" applyNumberFormat="1" applyFont="1" applyFill="1" applyBorder="1" applyAlignment="1" applyProtection="1">
      <alignment horizontal="center" vertical="center" wrapText="1"/>
    </xf>
    <xf numFmtId="1" fontId="31" fillId="0" borderId="100" xfId="0" applyNumberFormat="1" applyFont="1" applyFill="1" applyBorder="1" applyAlignment="1" applyProtection="1">
      <alignment horizontal="center" vertical="center" wrapText="1"/>
    </xf>
    <xf numFmtId="1" fontId="31" fillId="0" borderId="386" xfId="0" applyNumberFormat="1" applyFont="1" applyFill="1" applyBorder="1" applyAlignment="1" applyProtection="1">
      <alignment horizontal="center" vertical="center" wrapText="1"/>
    </xf>
    <xf numFmtId="1" fontId="31" fillId="0" borderId="102" xfId="0" applyNumberFormat="1" applyFont="1" applyFill="1" applyBorder="1" applyAlignment="1" applyProtection="1">
      <alignment horizontal="center" vertical="center" wrapText="1"/>
    </xf>
    <xf numFmtId="1" fontId="31" fillId="0" borderId="388" xfId="0" applyNumberFormat="1" applyFont="1" applyFill="1" applyBorder="1" applyAlignment="1" applyProtection="1">
      <alignment horizontal="center" vertical="center" wrapText="1"/>
    </xf>
    <xf numFmtId="1" fontId="29" fillId="0" borderId="0" xfId="0" applyNumberFormat="1" applyFont="1" applyBorder="1" applyAlignment="1" applyProtection="1">
      <alignment horizontal="center"/>
    </xf>
    <xf numFmtId="0" fontId="17" fillId="0" borderId="0" xfId="0" applyFont="1" applyBorder="1" applyAlignment="1" applyProtection="1">
      <alignment horizontal="center" vertical="center"/>
    </xf>
    <xf numFmtId="1" fontId="41" fillId="0" borderId="0" xfId="0" applyNumberFormat="1" applyFont="1" applyBorder="1" applyAlignment="1" applyProtection="1">
      <alignment horizontal="center"/>
    </xf>
    <xf numFmtId="1" fontId="31" fillId="0" borderId="152" xfId="0" applyNumberFormat="1" applyFont="1" applyBorder="1" applyAlignment="1" applyProtection="1">
      <alignment horizontal="center" vertical="center" wrapText="1"/>
    </xf>
    <xf numFmtId="1" fontId="31" fillId="0" borderId="395" xfId="0" applyNumberFormat="1" applyFont="1" applyBorder="1" applyAlignment="1" applyProtection="1">
      <alignment horizontal="center" vertical="center" wrapText="1"/>
    </xf>
    <xf numFmtId="1" fontId="31" fillId="0" borderId="150" xfId="0" applyNumberFormat="1" applyFont="1" applyBorder="1" applyAlignment="1" applyProtection="1">
      <alignment horizontal="center" vertical="center" wrapText="1"/>
    </xf>
    <xf numFmtId="1" fontId="31" fillId="0" borderId="386" xfId="0" applyNumberFormat="1" applyFont="1" applyBorder="1" applyAlignment="1" applyProtection="1">
      <alignment horizontal="center" vertical="center" wrapText="1"/>
    </xf>
    <xf numFmtId="1" fontId="31" fillId="0" borderId="150" xfId="0" applyNumberFormat="1" applyFont="1" applyFill="1" applyBorder="1" applyAlignment="1" applyProtection="1">
      <alignment horizontal="center" vertical="center" wrapText="1"/>
    </xf>
    <xf numFmtId="1" fontId="31" fillId="0" borderId="151" xfId="0" applyNumberFormat="1" applyFont="1" applyBorder="1" applyAlignment="1" applyProtection="1">
      <alignment horizontal="center" vertical="center" wrapText="1"/>
    </xf>
    <xf numFmtId="1" fontId="31" fillId="0" borderId="326" xfId="0" applyNumberFormat="1" applyFont="1" applyBorder="1" applyAlignment="1" applyProtection="1">
      <alignment horizontal="center" vertical="center" wrapText="1"/>
    </xf>
    <xf numFmtId="1" fontId="63" fillId="0" borderId="0" xfId="0" applyNumberFormat="1" applyFont="1" applyAlignment="1" applyProtection="1">
      <alignment horizontal="center"/>
      <protection locked="0"/>
    </xf>
    <xf numFmtId="1" fontId="29" fillId="0" borderId="0" xfId="0" applyNumberFormat="1" applyFont="1" applyAlignment="1" applyProtection="1">
      <alignment horizontal="center"/>
      <protection locked="0"/>
    </xf>
    <xf numFmtId="1" fontId="17" fillId="0" borderId="0" xfId="0" applyNumberFormat="1" applyFont="1" applyAlignment="1" applyProtection="1">
      <alignment horizontal="center"/>
      <protection locked="0"/>
    </xf>
    <xf numFmtId="1" fontId="79" fillId="0" borderId="0" xfId="0" applyNumberFormat="1" applyFont="1" applyAlignment="1" applyProtection="1">
      <alignment horizontal="center"/>
      <protection locked="0"/>
    </xf>
    <xf numFmtId="1" fontId="26" fillId="0" borderId="0" xfId="0" applyNumberFormat="1" applyFont="1" applyAlignment="1" applyProtection="1">
      <alignment horizontal="center"/>
      <protection locked="0"/>
    </xf>
    <xf numFmtId="2" fontId="79" fillId="0" borderId="0" xfId="0" applyNumberFormat="1" applyFont="1" applyFill="1" applyAlignment="1" applyProtection="1">
      <alignment horizontal="center"/>
    </xf>
    <xf numFmtId="2" fontId="29" fillId="0" borderId="0" xfId="0" applyNumberFormat="1" applyFont="1" applyFill="1" applyAlignment="1" applyProtection="1">
      <alignment horizontal="center"/>
    </xf>
    <xf numFmtId="2" fontId="63" fillId="0" borderId="0" xfId="0" applyNumberFormat="1" applyFont="1" applyFill="1" applyAlignment="1" applyProtection="1">
      <alignment horizontal="center"/>
    </xf>
    <xf numFmtId="2" fontId="31" fillId="0" borderId="0" xfId="0" applyNumberFormat="1" applyFont="1" applyBorder="1" applyAlignment="1" applyProtection="1">
      <alignment horizontal="center"/>
    </xf>
    <xf numFmtId="2" fontId="41" fillId="0" borderId="0" xfId="0" applyNumberFormat="1" applyFont="1" applyBorder="1" applyAlignment="1" applyProtection="1">
      <alignment horizontal="center"/>
    </xf>
    <xf numFmtId="2" fontId="41" fillId="0" borderId="99" xfId="0" applyNumberFormat="1" applyFont="1" applyFill="1" applyBorder="1" applyAlignment="1" applyProtection="1">
      <alignment horizontal="center" vertical="center" wrapText="1"/>
    </xf>
    <xf numFmtId="2" fontId="41" fillId="0" borderId="385" xfId="0" applyNumberFormat="1" applyFont="1" applyFill="1" applyBorder="1" applyAlignment="1" applyProtection="1">
      <alignment horizontal="center" vertical="center" wrapText="1"/>
    </xf>
    <xf numFmtId="2" fontId="79" fillId="0" borderId="100" xfId="0" applyNumberFormat="1" applyFont="1" applyFill="1" applyBorder="1" applyAlignment="1" applyProtection="1">
      <alignment horizontal="center" vertical="center" wrapText="1"/>
    </xf>
    <xf numFmtId="2" fontId="79" fillId="0" borderId="386" xfId="0" applyNumberFormat="1" applyFont="1" applyFill="1" applyBorder="1" applyAlignment="1" applyProtection="1">
      <alignment horizontal="center" vertical="center" wrapText="1"/>
    </xf>
    <xf numFmtId="0" fontId="31" fillId="0" borderId="100" xfId="0" applyFont="1" applyBorder="1" applyAlignment="1" applyProtection="1">
      <alignment horizontal="center" vertical="top" wrapText="1"/>
    </xf>
    <xf numFmtId="2" fontId="31" fillId="0" borderId="100" xfId="0" applyNumberFormat="1" applyFont="1" applyFill="1" applyBorder="1" applyAlignment="1" applyProtection="1">
      <alignment horizontal="center" vertical="center" wrapText="1"/>
    </xf>
    <xf numFmtId="2" fontId="31" fillId="0" borderId="386" xfId="0" applyNumberFormat="1" applyFont="1" applyFill="1" applyBorder="1" applyAlignment="1" applyProtection="1">
      <alignment horizontal="center" vertical="center" wrapText="1"/>
    </xf>
    <xf numFmtId="2" fontId="70" fillId="0" borderId="100" xfId="0" applyNumberFormat="1" applyFont="1" applyFill="1" applyBorder="1" applyAlignment="1" applyProtection="1">
      <alignment horizontal="center" vertical="center" wrapText="1"/>
    </xf>
    <xf numFmtId="2" fontId="70" fillId="0" borderId="386" xfId="0" applyNumberFormat="1" applyFont="1" applyFill="1" applyBorder="1" applyAlignment="1" applyProtection="1">
      <alignment horizontal="center" vertical="center" wrapText="1"/>
    </xf>
    <xf numFmtId="2" fontId="16" fillId="0" borderId="100" xfId="0" applyNumberFormat="1" applyFont="1" applyFill="1" applyBorder="1" applyAlignment="1" applyProtection="1">
      <alignment horizontal="center" vertical="center" wrapText="1"/>
    </xf>
    <xf numFmtId="2" fontId="31" fillId="0" borderId="102" xfId="0" applyNumberFormat="1" applyFont="1" applyBorder="1" applyAlignment="1" applyProtection="1">
      <alignment horizontal="center" vertical="center" wrapText="1"/>
    </xf>
    <xf numFmtId="2" fontId="31" fillId="0" borderId="388" xfId="0" applyNumberFormat="1" applyFont="1" applyBorder="1" applyAlignment="1" applyProtection="1">
      <alignment horizontal="center" vertical="center" wrapText="1"/>
    </xf>
    <xf numFmtId="2" fontId="29" fillId="0" borderId="0" xfId="0" applyNumberFormat="1" applyFont="1" applyAlignment="1" applyProtection="1">
      <alignment horizontal="center"/>
    </xf>
    <xf numFmtId="2" fontId="79" fillId="0" borderId="0" xfId="0" applyNumberFormat="1" applyFont="1" applyAlignment="1" applyProtection="1">
      <alignment horizontal="center"/>
    </xf>
    <xf numFmtId="2" fontId="41" fillId="0" borderId="170" xfId="0" applyNumberFormat="1" applyFont="1" applyFill="1" applyBorder="1" applyAlignment="1" applyProtection="1">
      <alignment horizontal="center" vertical="center" wrapText="1"/>
    </xf>
    <xf numFmtId="2" fontId="41" fillId="0" borderId="171" xfId="0" applyNumberFormat="1" applyFont="1" applyFill="1" applyBorder="1" applyAlignment="1" applyProtection="1">
      <alignment horizontal="center" vertical="center" wrapText="1"/>
    </xf>
    <xf numFmtId="2" fontId="79" fillId="0" borderId="166" xfId="0" applyNumberFormat="1" applyFont="1" applyFill="1" applyBorder="1" applyAlignment="1" applyProtection="1">
      <alignment horizontal="center" vertical="center" wrapText="1"/>
    </xf>
    <xf numFmtId="2" fontId="79" fillId="0" borderId="167" xfId="0" applyNumberFormat="1" applyFont="1" applyFill="1" applyBorder="1" applyAlignment="1" applyProtection="1">
      <alignment horizontal="center" vertical="center" wrapText="1"/>
    </xf>
    <xf numFmtId="2" fontId="31" fillId="0" borderId="100" xfId="0" applyNumberFormat="1" applyFont="1" applyBorder="1" applyAlignment="1" applyProtection="1">
      <alignment horizontal="center" vertical="center" wrapText="1"/>
    </xf>
    <xf numFmtId="2" fontId="31" fillId="0" borderId="104" xfId="0" applyNumberFormat="1" applyFont="1" applyBorder="1" applyAlignment="1" applyProtection="1">
      <alignment horizontal="center" vertical="center" wrapText="1"/>
    </xf>
    <xf numFmtId="2" fontId="70" fillId="0" borderId="100" xfId="0" applyNumberFormat="1" applyFont="1" applyBorder="1" applyAlignment="1" applyProtection="1">
      <alignment horizontal="center" vertical="center" wrapText="1"/>
    </xf>
    <xf numFmtId="2" fontId="70" fillId="0" borderId="104" xfId="0" applyNumberFormat="1" applyFont="1" applyBorder="1" applyAlignment="1" applyProtection="1">
      <alignment horizontal="center" vertical="center" wrapText="1"/>
    </xf>
    <xf numFmtId="2" fontId="31" fillId="0" borderId="105" xfId="0" applyNumberFormat="1" applyFont="1" applyBorder="1" applyAlignment="1" applyProtection="1">
      <alignment horizontal="center" vertical="center" wrapText="1"/>
    </xf>
    <xf numFmtId="2" fontId="16" fillId="0" borderId="163"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protection locked="0"/>
    </xf>
    <xf numFmtId="0" fontId="63"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xf>
    <xf numFmtId="2" fontId="26" fillId="0" borderId="0" xfId="0" applyNumberFormat="1" applyFont="1" applyAlignment="1" applyProtection="1">
      <alignment horizontal="center"/>
    </xf>
    <xf numFmtId="0" fontId="26" fillId="0" borderId="0" xfId="0" applyFont="1" applyAlignment="1" applyProtection="1">
      <alignment horizontal="center"/>
    </xf>
    <xf numFmtId="0" fontId="31" fillId="12" borderId="99" xfId="0" applyNumberFormat="1" applyFont="1" applyFill="1" applyBorder="1" applyAlignment="1" applyProtection="1">
      <alignment horizontal="center" vertical="center" wrapText="1"/>
    </xf>
    <xf numFmtId="0" fontId="31" fillId="12" borderId="385" xfId="0" applyNumberFormat="1" applyFont="1" applyFill="1" applyBorder="1" applyAlignment="1" applyProtection="1">
      <alignment horizontal="center" vertical="center" wrapText="1"/>
    </xf>
    <xf numFmtId="0" fontId="31" fillId="0" borderId="100" xfId="0" applyFont="1" applyBorder="1" applyAlignment="1" applyProtection="1">
      <alignment horizontal="center" vertical="center" wrapText="1"/>
    </xf>
    <xf numFmtId="0" fontId="31" fillId="0" borderId="386" xfId="0" applyFont="1" applyBorder="1" applyAlignment="1" applyProtection="1">
      <alignment horizontal="center" vertical="center" wrapText="1"/>
    </xf>
    <xf numFmtId="49" fontId="31" fillId="0" borderId="100" xfId="0" applyNumberFormat="1" applyFont="1" applyBorder="1" applyAlignment="1" applyProtection="1">
      <alignment horizontal="center" vertical="center" wrapText="1"/>
    </xf>
    <xf numFmtId="49" fontId="31" fillId="0" borderId="386" xfId="0" applyNumberFormat="1" applyFont="1" applyBorder="1" applyAlignment="1" applyProtection="1">
      <alignment horizontal="center" vertical="center" wrapText="1"/>
    </xf>
    <xf numFmtId="49" fontId="31" fillId="0" borderId="102" xfId="0" applyNumberFormat="1" applyFont="1" applyBorder="1" applyAlignment="1" applyProtection="1">
      <alignment horizontal="center" vertical="center" wrapText="1"/>
    </xf>
    <xf numFmtId="49" fontId="31" fillId="0" borderId="388" xfId="0" applyNumberFormat="1" applyFont="1" applyBorder="1" applyAlignment="1" applyProtection="1">
      <alignment horizontal="center" vertical="center" wrapText="1"/>
    </xf>
    <xf numFmtId="0" fontId="63" fillId="0" borderId="0" xfId="0" applyFont="1" applyAlignment="1" applyProtection="1">
      <alignment horizontal="center"/>
    </xf>
    <xf numFmtId="0" fontId="29" fillId="0" borderId="0" xfId="0" applyFont="1" applyAlignment="1" applyProtection="1">
      <alignment horizontal="center"/>
    </xf>
    <xf numFmtId="0" fontId="19" fillId="0" borderId="245" xfId="0" applyFont="1" applyFill="1" applyBorder="1" applyAlignment="1" applyProtection="1">
      <alignment horizontal="center" vertical="center" wrapText="1"/>
    </xf>
    <xf numFmtId="0" fontId="19" fillId="0" borderId="247" xfId="0" applyFont="1" applyFill="1" applyBorder="1" applyAlignment="1" applyProtection="1">
      <alignment horizontal="center" vertical="center" wrapText="1"/>
    </xf>
    <xf numFmtId="0" fontId="19" fillId="0" borderId="250" xfId="0" applyFont="1" applyFill="1" applyBorder="1" applyAlignment="1" applyProtection="1">
      <alignment horizontal="center" vertical="center" wrapText="1"/>
    </xf>
    <xf numFmtId="0" fontId="31" fillId="0" borderId="0" xfId="0" applyFont="1" applyBorder="1" applyAlignment="1" applyProtection="1">
      <alignment horizontal="center"/>
    </xf>
    <xf numFmtId="0" fontId="56" fillId="0" borderId="0" xfId="0" applyFont="1" applyBorder="1" applyAlignment="1" applyProtection="1">
      <alignment horizontal="center"/>
    </xf>
    <xf numFmtId="0" fontId="31" fillId="0" borderId="0" xfId="0" applyFont="1" applyFill="1" applyBorder="1" applyAlignment="1" applyProtection="1">
      <alignment horizontal="center"/>
    </xf>
    <xf numFmtId="0" fontId="19" fillId="0" borderId="243" xfId="0" applyFont="1" applyFill="1" applyBorder="1" applyAlignment="1" applyProtection="1">
      <alignment horizontal="center" vertical="center"/>
    </xf>
    <xf numFmtId="0" fontId="19" fillId="0" borderId="246" xfId="0" applyFont="1" applyFill="1" applyBorder="1" applyAlignment="1" applyProtection="1">
      <alignment horizontal="center" vertical="center"/>
    </xf>
    <xf numFmtId="0" fontId="19" fillId="0" borderId="248" xfId="0" applyFont="1" applyFill="1" applyBorder="1" applyAlignment="1" applyProtection="1">
      <alignment horizontal="center" vertical="center"/>
    </xf>
    <xf numFmtId="0" fontId="19" fillId="0" borderId="244"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249" xfId="0" applyFont="1" applyFill="1" applyBorder="1" applyAlignment="1" applyProtection="1">
      <alignment horizontal="center" vertical="center" wrapText="1"/>
    </xf>
    <xf numFmtId="0" fontId="31" fillId="0" borderId="0" xfId="36" applyFont="1" applyFill="1" applyBorder="1" applyAlignment="1" applyProtection="1">
      <alignment horizontal="center"/>
    </xf>
    <xf numFmtId="0" fontId="79" fillId="0" borderId="0" xfId="0" applyFont="1" applyBorder="1" applyAlignment="1" applyProtection="1">
      <alignment horizontal="center"/>
    </xf>
    <xf numFmtId="49" fontId="17" fillId="0" borderId="0" xfId="0" applyNumberFormat="1" applyFont="1" applyFill="1" applyBorder="1" applyAlignment="1" applyProtection="1">
      <alignment horizontal="center"/>
    </xf>
    <xf numFmtId="0" fontId="27" fillId="0" borderId="91" xfId="36" applyFont="1" applyFill="1" applyBorder="1" applyAlignment="1" applyProtection="1">
      <alignment horizontal="center" vertical="center"/>
    </xf>
    <xf numFmtId="0" fontId="27" fillId="0" borderId="240" xfId="36" applyFont="1" applyFill="1" applyBorder="1" applyAlignment="1" applyProtection="1">
      <alignment horizontal="center" vertical="center"/>
    </xf>
    <xf numFmtId="0" fontId="27" fillId="0" borderId="91" xfId="36" applyFont="1" applyFill="1" applyBorder="1" applyAlignment="1" applyProtection="1">
      <alignment horizontal="center" vertical="center" wrapText="1"/>
    </xf>
    <xf numFmtId="0" fontId="27" fillId="0" borderId="240" xfId="36" applyFont="1" applyFill="1" applyBorder="1" applyAlignment="1" applyProtection="1">
      <alignment horizontal="center" vertical="center" wrapText="1"/>
    </xf>
    <xf numFmtId="0" fontId="29" fillId="0" borderId="0" xfId="36" applyFont="1" applyFill="1" applyBorder="1" applyAlignment="1" applyProtection="1">
      <alignment horizontal="center"/>
    </xf>
    <xf numFmtId="49" fontId="13" fillId="0" borderId="99" xfId="36" applyNumberFormat="1" applyFont="1" applyFill="1" applyBorder="1" applyAlignment="1" applyProtection="1">
      <alignment horizontal="center" vertical="center" wrapText="1"/>
    </xf>
    <xf numFmtId="49" fontId="13" fillId="0" borderId="101" xfId="36" applyNumberFormat="1" applyFont="1" applyFill="1" applyBorder="1" applyAlignment="1" applyProtection="1">
      <alignment horizontal="center" vertical="center" wrapText="1"/>
    </xf>
    <xf numFmtId="49" fontId="13" fillId="0" borderId="241" xfId="36" applyNumberFormat="1" applyFont="1" applyFill="1" applyBorder="1" applyAlignment="1" applyProtection="1">
      <alignment horizontal="center" vertical="center" wrapText="1"/>
    </xf>
    <xf numFmtId="0" fontId="27" fillId="0" borderId="100" xfId="36" applyFont="1" applyFill="1" applyBorder="1" applyAlignment="1" applyProtection="1">
      <alignment horizontal="center" vertical="center" wrapText="1"/>
    </xf>
    <xf numFmtId="0" fontId="27" fillId="0" borderId="100" xfId="36" applyFont="1" applyFill="1" applyBorder="1" applyAlignment="1" applyProtection="1">
      <alignment horizontal="center"/>
    </xf>
    <xf numFmtId="0" fontId="27" fillId="0" borderId="91" xfId="36" applyFont="1" applyFill="1" applyBorder="1" applyAlignment="1" applyProtection="1">
      <alignment horizontal="center"/>
    </xf>
    <xf numFmtId="0" fontId="26" fillId="0" borderId="100" xfId="36" applyFont="1" applyFill="1" applyBorder="1" applyAlignment="1" applyProtection="1">
      <alignment horizontal="center"/>
    </xf>
    <xf numFmtId="0" fontId="26" fillId="0" borderId="102" xfId="36" applyFont="1" applyFill="1" applyBorder="1" applyAlignment="1" applyProtection="1">
      <alignment horizontal="center"/>
    </xf>
    <xf numFmtId="0" fontId="26" fillId="0" borderId="91" xfId="36" applyFont="1" applyFill="1" applyBorder="1" applyAlignment="1" applyProtection="1">
      <alignment horizontal="center" vertical="center" wrapText="1"/>
    </xf>
    <xf numFmtId="0" fontId="26" fillId="0" borderId="240" xfId="36" applyFont="1" applyFill="1" applyBorder="1" applyAlignment="1" applyProtection="1">
      <alignment horizontal="center" vertical="center" wrapText="1"/>
    </xf>
    <xf numFmtId="0" fontId="27" fillId="0" borderId="103" xfId="36" applyFont="1" applyFill="1" applyBorder="1" applyAlignment="1" applyProtection="1">
      <alignment horizontal="center"/>
    </xf>
    <xf numFmtId="0" fontId="27" fillId="0" borderId="103" xfId="36" applyFont="1" applyFill="1" applyBorder="1" applyAlignment="1" applyProtection="1">
      <alignment horizontal="center" vertical="center" wrapText="1"/>
    </xf>
    <xf numFmtId="0" fontId="27" fillId="0" borderId="242" xfId="36" applyFont="1" applyFill="1" applyBorder="1" applyAlignment="1" applyProtection="1">
      <alignment horizontal="center" vertical="center" wrapText="1"/>
    </xf>
    <xf numFmtId="0" fontId="41" fillId="0" borderId="0" xfId="22" applyFont="1" applyFill="1" applyAlignment="1" applyProtection="1">
      <alignment horizontal="center"/>
    </xf>
    <xf numFmtId="0" fontId="41" fillId="0" borderId="0" xfId="36" applyFont="1" applyFill="1" applyAlignment="1" applyProtection="1">
      <alignment horizontal="center"/>
      <protection locked="0"/>
    </xf>
    <xf numFmtId="2" fontId="26" fillId="0" borderId="0" xfId="36" applyNumberFormat="1" applyFont="1" applyFill="1" applyAlignment="1" applyProtection="1">
      <alignment horizontal="center"/>
    </xf>
    <xf numFmtId="2" fontId="26" fillId="0" borderId="0" xfId="22" applyNumberFormat="1" applyFont="1" applyBorder="1" applyAlignment="1" applyProtection="1">
      <alignment horizontal="center"/>
    </xf>
    <xf numFmtId="3" fontId="72" fillId="0" borderId="0" xfId="36" applyNumberFormat="1" applyFont="1" applyFill="1" applyBorder="1" applyAlignment="1" applyProtection="1">
      <alignment horizontal="left" vertical="center" wrapText="1"/>
    </xf>
    <xf numFmtId="0" fontId="63" fillId="0" borderId="0" xfId="0" applyFont="1" applyFill="1" applyBorder="1" applyAlignment="1" applyProtection="1">
      <alignment horizontal="center"/>
    </xf>
    <xf numFmtId="0" fontId="29" fillId="0" borderId="0" xfId="36" applyFont="1" applyFill="1" applyAlignment="1" applyProtection="1">
      <alignment horizontal="center"/>
    </xf>
    <xf numFmtId="49" fontId="74" fillId="0" borderId="234" xfId="36" applyNumberFormat="1" applyFont="1" applyFill="1" applyBorder="1" applyAlignment="1" applyProtection="1">
      <alignment horizontal="center" vertical="center" wrapText="1"/>
    </xf>
    <xf numFmtId="0" fontId="16" fillId="0" borderId="234" xfId="36" applyFont="1" applyFill="1" applyBorder="1" applyAlignment="1" applyProtection="1">
      <alignment horizontal="center" vertical="center"/>
    </xf>
    <xf numFmtId="0" fontId="16" fillId="0" borderId="104" xfId="36" applyFont="1" applyFill="1" applyBorder="1" applyAlignment="1" applyProtection="1">
      <alignment horizontal="center" vertical="center"/>
    </xf>
    <xf numFmtId="0" fontId="27" fillId="0" borderId="234" xfId="36" applyFont="1" applyFill="1" applyBorder="1" applyAlignment="1" applyProtection="1">
      <alignment horizontal="center"/>
    </xf>
    <xf numFmtId="2" fontId="12" fillId="0" borderId="234" xfId="22" applyNumberFormat="1" applyFont="1" applyFill="1" applyBorder="1" applyAlignment="1" applyProtection="1">
      <alignment horizontal="center" vertical="center" wrapText="1"/>
    </xf>
    <xf numFmtId="2" fontId="12" fillId="0" borderId="104" xfId="22" applyNumberFormat="1" applyFont="1" applyFill="1" applyBorder="1" applyAlignment="1" applyProtection="1">
      <alignment horizontal="center" vertical="center" wrapText="1"/>
    </xf>
    <xf numFmtId="49" fontId="12" fillId="0" borderId="234" xfId="22" applyNumberFormat="1" applyFont="1" applyFill="1" applyBorder="1" applyAlignment="1" applyProtection="1">
      <alignment horizontal="center" vertical="center" wrapText="1"/>
    </xf>
    <xf numFmtId="0" fontId="27" fillId="0" borderId="234" xfId="36" applyFont="1" applyFill="1" applyBorder="1" applyAlignment="1" applyProtection="1">
      <alignment horizontal="center" vertical="center" wrapText="1"/>
    </xf>
    <xf numFmtId="0" fontId="27" fillId="0" borderId="104" xfId="36" applyFont="1" applyFill="1" applyBorder="1" applyAlignment="1" applyProtection="1">
      <alignment horizontal="center" vertical="center" wrapText="1"/>
    </xf>
    <xf numFmtId="49" fontId="74" fillId="0" borderId="100" xfId="36" applyNumberFormat="1" applyFont="1" applyFill="1" applyBorder="1" applyAlignment="1" applyProtection="1">
      <alignment horizontal="center" vertical="center" wrapText="1"/>
    </xf>
    <xf numFmtId="49" fontId="74" fillId="0" borderId="104" xfId="36" applyNumberFormat="1" applyFont="1" applyFill="1" applyBorder="1" applyAlignment="1" applyProtection="1">
      <alignment horizontal="center" vertical="center" wrapText="1"/>
    </xf>
    <xf numFmtId="0" fontId="74" fillId="0" borderId="100" xfId="36" applyFont="1" applyFill="1" applyBorder="1" applyAlignment="1" applyProtection="1">
      <alignment horizontal="center" vertical="center" wrapText="1"/>
    </xf>
    <xf numFmtId="0" fontId="74" fillId="0" borderId="234" xfId="36" applyFont="1" applyFill="1" applyBorder="1" applyAlignment="1" applyProtection="1">
      <alignment horizontal="center" vertical="center" wrapText="1"/>
    </xf>
    <xf numFmtId="49" fontId="27" fillId="0" borderId="100" xfId="36" applyNumberFormat="1" applyFont="1" applyFill="1" applyBorder="1" applyAlignment="1" applyProtection="1">
      <alignment horizontal="center" vertical="center" wrapText="1"/>
    </xf>
    <xf numFmtId="49" fontId="27" fillId="0" borderId="102" xfId="36" applyNumberFormat="1" applyFont="1" applyFill="1" applyBorder="1" applyAlignment="1" applyProtection="1">
      <alignment horizontal="center" vertical="center" wrapText="1"/>
    </xf>
    <xf numFmtId="49" fontId="27" fillId="0" borderId="234" xfId="36" applyNumberFormat="1" applyFont="1" applyFill="1" applyBorder="1" applyAlignment="1" applyProtection="1">
      <alignment horizontal="center" vertical="center" wrapText="1"/>
    </xf>
    <xf numFmtId="49" fontId="27" fillId="0" borderId="235" xfId="36" applyNumberFormat="1" applyFont="1" applyFill="1" applyBorder="1" applyAlignment="1" applyProtection="1">
      <alignment horizontal="center" vertical="center" wrapText="1"/>
    </xf>
    <xf numFmtId="0" fontId="74" fillId="0" borderId="235" xfId="36" applyFont="1" applyFill="1" applyBorder="1" applyAlignment="1" applyProtection="1">
      <alignment horizontal="center" vertical="center" wrapText="1"/>
    </xf>
    <xf numFmtId="49" fontId="13" fillId="0" borderId="233" xfId="36" applyNumberFormat="1" applyFont="1" applyFill="1" applyBorder="1" applyAlignment="1" applyProtection="1">
      <alignment horizontal="center" vertical="center" wrapText="1"/>
    </xf>
    <xf numFmtId="49" fontId="13" fillId="0" borderId="141" xfId="36" applyNumberFormat="1" applyFont="1" applyFill="1" applyBorder="1" applyAlignment="1" applyProtection="1">
      <alignment horizontal="center" vertical="center" wrapText="1"/>
    </xf>
    <xf numFmtId="0" fontId="56" fillId="0" borderId="100" xfId="36" applyFont="1" applyFill="1" applyBorder="1" applyAlignment="1" applyProtection="1">
      <alignment horizontal="center"/>
    </xf>
    <xf numFmtId="0" fontId="27" fillId="0" borderId="234" xfId="36" applyFont="1" applyFill="1" applyBorder="1" applyAlignment="1" applyProtection="1">
      <alignment horizontal="center" vertical="center"/>
    </xf>
    <xf numFmtId="0" fontId="27" fillId="0" borderId="104" xfId="36" applyFont="1" applyFill="1" applyBorder="1" applyAlignment="1" applyProtection="1">
      <alignment horizontal="center" vertical="center"/>
    </xf>
    <xf numFmtId="0" fontId="27" fillId="0" borderId="35" xfId="35" applyFont="1" applyFill="1" applyBorder="1" applyAlignment="1" applyProtection="1">
      <alignment horizontal="center" vertical="center" wrapText="1"/>
    </xf>
    <xf numFmtId="0" fontId="27" fillId="0" borderId="35" xfId="35" applyFont="1" applyFill="1" applyBorder="1" applyAlignment="1" applyProtection="1">
      <alignment horizontal="center" vertical="center" wrapText="1" shrinkToFit="1"/>
    </xf>
    <xf numFmtId="0" fontId="31" fillId="0" borderId="0" xfId="35" applyFont="1" applyFill="1" applyAlignment="1" applyProtection="1">
      <alignment horizontal="center"/>
    </xf>
    <xf numFmtId="2" fontId="26" fillId="0" borderId="0" xfId="35" applyNumberFormat="1" applyFont="1" applyFill="1" applyBorder="1" applyAlignment="1" applyProtection="1">
      <alignment horizontal="center"/>
    </xf>
    <xf numFmtId="0" fontId="27" fillId="0" borderId="26" xfId="35" applyFont="1" applyFill="1" applyBorder="1" applyAlignment="1" applyProtection="1">
      <alignment horizontal="center" vertical="center" wrapText="1"/>
    </xf>
    <xf numFmtId="0" fontId="27" fillId="0" borderId="15" xfId="35" applyFont="1" applyFill="1" applyBorder="1" applyAlignment="1" applyProtection="1">
      <alignment horizontal="center" vertical="center" wrapText="1"/>
    </xf>
    <xf numFmtId="0" fontId="56" fillId="0" borderId="0" xfId="0" applyFont="1" applyFill="1" applyAlignment="1" applyProtection="1">
      <alignment horizontal="center"/>
      <protection locked="0"/>
    </xf>
    <xf numFmtId="0" fontId="56" fillId="0" borderId="0" xfId="35" applyFont="1" applyFill="1" applyAlignment="1" applyProtection="1">
      <alignment horizontal="center"/>
    </xf>
    <xf numFmtId="2" fontId="17" fillId="0" borderId="0" xfId="22" applyNumberFormat="1" applyFont="1" applyFill="1" applyBorder="1" applyAlignment="1" applyProtection="1">
      <alignment horizontal="left"/>
      <protection locked="0"/>
    </xf>
    <xf numFmtId="0" fontId="29" fillId="0" borderId="0" xfId="35" applyFont="1" applyFill="1" applyBorder="1" applyAlignment="1" applyProtection="1">
      <alignment horizontal="center"/>
    </xf>
    <xf numFmtId="0" fontId="27" fillId="0" borderId="25" xfId="35" applyFont="1" applyFill="1" applyBorder="1" applyAlignment="1" applyProtection="1">
      <alignment horizontal="center" vertical="center" wrapText="1"/>
    </xf>
    <xf numFmtId="0" fontId="27" fillId="0" borderId="28" xfId="35" applyFont="1" applyFill="1" applyBorder="1" applyAlignment="1" applyProtection="1">
      <alignment horizontal="center" vertical="center" wrapText="1"/>
    </xf>
    <xf numFmtId="0" fontId="27" fillId="0" borderId="12" xfId="35" applyFont="1" applyFill="1" applyBorder="1" applyAlignment="1" applyProtection="1">
      <alignment horizontal="center"/>
    </xf>
    <xf numFmtId="0" fontId="26" fillId="0" borderId="8" xfId="35" applyFont="1" applyFill="1" applyBorder="1" applyAlignment="1" applyProtection="1">
      <alignment horizontal="center"/>
    </xf>
    <xf numFmtId="0" fontId="17" fillId="0" borderId="0" xfId="35" applyFont="1" applyFill="1" applyAlignment="1" applyProtection="1">
      <alignment horizontal="center"/>
    </xf>
    <xf numFmtId="2" fontId="26" fillId="0" borderId="0" xfId="35" applyNumberFormat="1" applyFont="1" applyFill="1" applyAlignment="1" applyProtection="1">
      <alignment horizontal="center"/>
    </xf>
    <xf numFmtId="0" fontId="26" fillId="0" borderId="0" xfId="35" applyFont="1" applyFill="1" applyAlignment="1" applyProtection="1">
      <alignment horizontal="center"/>
    </xf>
    <xf numFmtId="0" fontId="13" fillId="0" borderId="29" xfId="35" applyFont="1" applyFill="1" applyBorder="1" applyAlignment="1" applyProtection="1">
      <alignment horizontal="center" vertical="center" wrapText="1"/>
    </xf>
    <xf numFmtId="0" fontId="13" fillId="0" borderId="76" xfId="35" applyFont="1" applyFill="1" applyBorder="1" applyAlignment="1" applyProtection="1">
      <alignment horizontal="center" vertical="center" wrapText="1"/>
    </xf>
    <xf numFmtId="0" fontId="177" fillId="0" borderId="0" xfId="0" applyFont="1" applyAlignment="1" applyProtection="1">
      <alignment horizontal="center"/>
    </xf>
    <xf numFmtId="0" fontId="74" fillId="0" borderId="29" xfId="35" applyFont="1" applyFill="1" applyBorder="1" applyAlignment="1" applyProtection="1">
      <alignment horizontal="center" vertical="center" wrapText="1"/>
    </xf>
    <xf numFmtId="0" fontId="230" fillId="0" borderId="29" xfId="35" applyFont="1" applyFill="1" applyBorder="1" applyAlignment="1" applyProtection="1">
      <alignment horizontal="center" vertical="center" wrapText="1"/>
    </xf>
    <xf numFmtId="0" fontId="230" fillId="0" borderId="76" xfId="35" applyFont="1" applyFill="1" applyBorder="1" applyAlignment="1" applyProtection="1">
      <alignment horizontal="center" vertical="center" wrapText="1"/>
    </xf>
    <xf numFmtId="0" fontId="74" fillId="0" borderId="76" xfId="35" applyFont="1" applyFill="1" applyBorder="1" applyAlignment="1" applyProtection="1">
      <alignment horizontal="center" vertical="center" wrapText="1"/>
    </xf>
    <xf numFmtId="49" fontId="58" fillId="0" borderId="79" xfId="35" applyNumberFormat="1" applyFont="1" applyFill="1" applyBorder="1" applyAlignment="1" applyProtection="1">
      <alignment horizontal="center" vertical="center" wrapText="1"/>
    </xf>
    <xf numFmtId="49" fontId="58" fillId="0" borderId="112" xfId="35" applyNumberFormat="1" applyFont="1" applyFill="1" applyBorder="1" applyAlignment="1" applyProtection="1">
      <alignment horizontal="center" vertical="center" wrapText="1"/>
    </xf>
    <xf numFmtId="49" fontId="58" fillId="0" borderId="78" xfId="35" applyNumberFormat="1" applyFont="1" applyFill="1" applyBorder="1" applyAlignment="1" applyProtection="1">
      <alignment horizontal="center" vertical="center" wrapText="1"/>
    </xf>
    <xf numFmtId="0" fontId="13" fillId="0" borderId="72" xfId="35" applyFont="1" applyFill="1" applyBorder="1" applyAlignment="1" applyProtection="1">
      <alignment horizontal="center" vertical="center" wrapText="1"/>
    </xf>
    <xf numFmtId="0" fontId="15" fillId="0" borderId="72" xfId="35" applyFont="1" applyFill="1" applyBorder="1" applyAlignment="1" applyProtection="1"/>
    <xf numFmtId="49" fontId="13" fillId="0" borderId="72" xfId="35" applyNumberFormat="1" applyFont="1" applyFill="1" applyBorder="1" applyAlignment="1" applyProtection="1">
      <alignment horizontal="center" vertical="center" wrapText="1"/>
    </xf>
    <xf numFmtId="49" fontId="13" fillId="0" borderId="73" xfId="35" applyNumberFormat="1" applyFont="1" applyFill="1" applyBorder="1" applyAlignment="1" applyProtection="1">
      <alignment horizontal="center" vertical="center" wrapText="1"/>
    </xf>
    <xf numFmtId="49" fontId="13" fillId="0" borderId="29" xfId="35" applyNumberFormat="1" applyFont="1" applyFill="1" applyBorder="1" applyAlignment="1" applyProtection="1">
      <alignment horizontal="center" vertical="center" wrapText="1"/>
    </xf>
    <xf numFmtId="49" fontId="13" fillId="0" borderId="75" xfId="35" applyNumberFormat="1" applyFont="1" applyFill="1" applyBorder="1" applyAlignment="1" applyProtection="1">
      <alignment horizontal="center" vertical="center" wrapText="1"/>
    </xf>
    <xf numFmtId="0" fontId="27" fillId="0" borderId="29" xfId="35" applyFont="1" applyFill="1" applyBorder="1" applyAlignment="1" applyProtection="1">
      <alignment horizontal="center" vertical="center" wrapText="1"/>
    </xf>
    <xf numFmtId="0" fontId="27" fillId="0" borderId="76" xfId="35" applyFont="1" applyFill="1" applyBorder="1" applyAlignment="1" applyProtection="1">
      <alignment horizontal="center" vertical="center" wrapText="1"/>
    </xf>
    <xf numFmtId="0" fontId="27" fillId="0" borderId="29" xfId="35" applyFont="1" applyFill="1" applyBorder="1" applyAlignment="1" applyProtection="1">
      <alignment horizontal="center"/>
    </xf>
    <xf numFmtId="0" fontId="74" fillId="0" borderId="75" xfId="35" applyFont="1" applyFill="1" applyBorder="1" applyAlignment="1" applyProtection="1">
      <alignment horizontal="center" vertical="center" wrapText="1"/>
    </xf>
    <xf numFmtId="0" fontId="74" fillId="0" borderId="77" xfId="35" applyFont="1" applyFill="1" applyBorder="1" applyAlignment="1" applyProtection="1">
      <alignment horizontal="center" vertical="center" wrapText="1"/>
    </xf>
    <xf numFmtId="49" fontId="27" fillId="0" borderId="29" xfId="35" applyNumberFormat="1" applyFont="1" applyFill="1" applyBorder="1" applyAlignment="1" applyProtection="1">
      <alignment horizontal="center" vertical="center" wrapText="1"/>
    </xf>
    <xf numFmtId="49" fontId="27" fillId="0" borderId="76" xfId="35" applyNumberFormat="1" applyFont="1" applyFill="1" applyBorder="1" applyAlignment="1" applyProtection="1">
      <alignment horizontal="center" vertical="center" wrapText="1"/>
    </xf>
    <xf numFmtId="0" fontId="79" fillId="0" borderId="0" xfId="39" applyFont="1" applyAlignment="1">
      <alignment horizontal="center"/>
    </xf>
    <xf numFmtId="2" fontId="16" fillId="0" borderId="0" xfId="22" applyNumberFormat="1" applyFont="1" applyFill="1" applyBorder="1" applyAlignment="1" applyProtection="1">
      <alignment horizontal="left"/>
    </xf>
    <xf numFmtId="0" fontId="29" fillId="0" borderId="0" xfId="39" applyFont="1" applyBorder="1" applyAlignment="1" applyProtection="1">
      <alignment horizontal="center"/>
    </xf>
    <xf numFmtId="0" fontId="31" fillId="0" borderId="0" xfId="39" applyFont="1" applyAlignment="1">
      <alignment horizontal="center"/>
    </xf>
    <xf numFmtId="0" fontId="31" fillId="0" borderId="0" xfId="0" applyFont="1" applyFill="1" applyAlignment="1" applyProtection="1">
      <alignment horizontal="center"/>
      <protection locked="0"/>
    </xf>
    <xf numFmtId="0" fontId="21" fillId="0" borderId="0" xfId="39" applyFont="1" applyAlignment="1" applyProtection="1">
      <alignment horizontal="center"/>
    </xf>
    <xf numFmtId="0" fontId="63" fillId="0" borderId="0" xfId="39" applyFont="1" applyBorder="1" applyAlignment="1" applyProtection="1">
      <alignment horizontal="center"/>
    </xf>
    <xf numFmtId="2" fontId="26" fillId="0" borderId="0" xfId="39" applyNumberFormat="1" applyFont="1" applyBorder="1" applyAlignment="1" applyProtection="1">
      <alignment horizontal="center" vertical="top" wrapText="1"/>
    </xf>
    <xf numFmtId="0" fontId="26" fillId="0" borderId="0" xfId="39" applyFont="1" applyFill="1" applyBorder="1" applyAlignment="1">
      <alignment horizontal="center"/>
    </xf>
    <xf numFmtId="0" fontId="12" fillId="0" borderId="176" xfId="22" applyBorder="1" applyAlignment="1" applyProtection="1">
      <alignment horizontal="center" vertical="center"/>
    </xf>
    <xf numFmtId="0" fontId="12" fillId="0" borderId="38" xfId="22" applyBorder="1" applyAlignment="1" applyProtection="1">
      <alignment horizontal="center" vertical="center"/>
    </xf>
    <xf numFmtId="0" fontId="12" fillId="0" borderId="226" xfId="22" applyBorder="1" applyAlignment="1" applyProtection="1">
      <alignment horizontal="center" vertical="center"/>
    </xf>
    <xf numFmtId="0" fontId="29" fillId="0" borderId="0" xfId="22" applyFont="1" applyBorder="1" applyAlignment="1" applyProtection="1">
      <alignment horizontal="center"/>
    </xf>
    <xf numFmtId="169" fontId="13" fillId="0" borderId="73" xfId="22" applyNumberFormat="1" applyFont="1" applyFill="1" applyBorder="1" applyAlignment="1" applyProtection="1">
      <alignment horizontal="center" vertical="center"/>
    </xf>
    <xf numFmtId="169" fontId="13" fillId="0" borderId="259" xfId="22" applyNumberFormat="1" applyFont="1" applyFill="1" applyBorder="1" applyAlignment="1" applyProtection="1">
      <alignment horizontal="center" vertical="center"/>
    </xf>
    <xf numFmtId="3" fontId="13" fillId="0" borderId="259" xfId="22" applyNumberFormat="1" applyFont="1" applyBorder="1" applyAlignment="1" applyProtection="1">
      <alignment horizontal="center" vertical="center"/>
    </xf>
    <xf numFmtId="0" fontId="13" fillId="0" borderId="264" xfId="22" applyFont="1" applyBorder="1" applyAlignment="1" applyProtection="1">
      <alignment horizontal="center" vertical="center"/>
    </xf>
    <xf numFmtId="169" fontId="13" fillId="0" borderId="72" xfId="22" applyNumberFormat="1" applyFont="1" applyFill="1" applyBorder="1" applyAlignment="1" applyProtection="1">
      <alignment horizontal="center" vertical="center"/>
    </xf>
    <xf numFmtId="169" fontId="13" fillId="0" borderId="239" xfId="22" applyNumberFormat="1" applyFont="1" applyFill="1" applyBorder="1" applyAlignment="1" applyProtection="1">
      <alignment horizontal="center" vertical="center"/>
    </xf>
    <xf numFmtId="3" fontId="13" fillId="0" borderId="239" xfId="22" applyNumberFormat="1" applyFont="1" applyFill="1" applyBorder="1" applyAlignment="1" applyProtection="1">
      <alignment horizontal="center" vertical="center"/>
      <protection locked="0"/>
    </xf>
    <xf numFmtId="3" fontId="13" fillId="0" borderId="263" xfId="22" applyNumberFormat="1" applyFont="1" applyFill="1" applyBorder="1" applyAlignment="1" applyProtection="1">
      <alignment horizontal="center" vertical="center"/>
      <protection locked="0"/>
    </xf>
    <xf numFmtId="2" fontId="26" fillId="0" borderId="0" xfId="22" applyNumberFormat="1" applyFont="1" applyAlignment="1" applyProtection="1">
      <alignment horizontal="center"/>
    </xf>
    <xf numFmtId="0" fontId="26" fillId="0" borderId="0" xfId="22" applyFont="1" applyAlignment="1" applyProtection="1">
      <alignment horizontal="center"/>
    </xf>
    <xf numFmtId="0" fontId="74" fillId="0" borderId="275" xfId="22" applyFont="1" applyFill="1" applyBorder="1" applyAlignment="1">
      <alignment horizontal="center" vertical="center" wrapText="1"/>
    </xf>
    <xf numFmtId="0" fontId="74" fillId="0" borderId="276" xfId="22" applyFont="1" applyFill="1" applyBorder="1" applyAlignment="1">
      <alignment horizontal="center" vertical="center" wrapText="1"/>
    </xf>
    <xf numFmtId="0" fontId="74" fillId="0" borderId="277" xfId="22" applyFont="1" applyFill="1" applyBorder="1" applyAlignment="1">
      <alignment horizontal="center" vertical="center" wrapText="1"/>
    </xf>
    <xf numFmtId="3" fontId="13" fillId="0" borderId="239" xfId="22" applyNumberFormat="1" applyFont="1" applyFill="1" applyBorder="1" applyAlignment="1" applyProtection="1">
      <alignment horizontal="center" vertical="center"/>
    </xf>
    <xf numFmtId="3" fontId="13" fillId="0" borderId="263" xfId="22" applyNumberFormat="1" applyFont="1" applyFill="1" applyBorder="1" applyAlignment="1" applyProtection="1">
      <alignment horizontal="center" vertical="center"/>
    </xf>
    <xf numFmtId="3" fontId="13" fillId="0" borderId="239" xfId="22" applyNumberFormat="1" applyFont="1" applyBorder="1" applyAlignment="1" applyProtection="1">
      <alignment horizontal="center" vertical="center"/>
    </xf>
    <xf numFmtId="0" fontId="13" fillId="0" borderId="263" xfId="22" applyFont="1" applyBorder="1" applyAlignment="1" applyProtection="1">
      <alignment horizontal="center" vertical="center"/>
    </xf>
    <xf numFmtId="0" fontId="177" fillId="0" borderId="0" xfId="39" applyFont="1" applyBorder="1" applyAlignment="1" applyProtection="1">
      <alignment horizontal="center" vertical="top" wrapText="1"/>
    </xf>
    <xf numFmtId="0" fontId="63" fillId="0" borderId="0" xfId="22" applyFont="1" applyFill="1" applyBorder="1" applyAlignment="1" applyProtection="1">
      <alignment horizontal="center"/>
    </xf>
    <xf numFmtId="0" fontId="74" fillId="0" borderId="272" xfId="22" applyFont="1" applyFill="1" applyBorder="1" applyAlignment="1">
      <alignment horizontal="center" vertical="center" wrapText="1"/>
    </xf>
    <xf numFmtId="0" fontId="74" fillId="0" borderId="273" xfId="22" applyFont="1" applyFill="1" applyBorder="1" applyAlignment="1">
      <alignment horizontal="center" vertical="center" wrapText="1"/>
    </xf>
    <xf numFmtId="0" fontId="74" fillId="0" borderId="274" xfId="22" applyFont="1" applyFill="1" applyBorder="1" applyAlignment="1">
      <alignment horizontal="center" vertical="center" wrapText="1"/>
    </xf>
    <xf numFmtId="2" fontId="29" fillId="0" borderId="0" xfId="39" applyNumberFormat="1" applyFont="1" applyBorder="1" applyAlignment="1" applyProtection="1">
      <alignment horizontal="center" vertical="top" wrapText="1"/>
    </xf>
    <xf numFmtId="0" fontId="31" fillId="0" borderId="0" xfId="22" applyFont="1" applyAlignment="1" applyProtection="1">
      <alignment horizontal="center"/>
    </xf>
    <xf numFmtId="2" fontId="29" fillId="0" borderId="0" xfId="22" applyNumberFormat="1" applyFont="1" applyBorder="1" applyAlignment="1" applyProtection="1">
      <alignment horizontal="center" vertical="center" wrapText="1"/>
    </xf>
    <xf numFmtId="0" fontId="31" fillId="0" borderId="99" xfId="22" applyFont="1" applyBorder="1" applyAlignment="1" applyProtection="1">
      <alignment horizontal="center" vertical="center"/>
    </xf>
    <xf numFmtId="0" fontId="31" fillId="0" borderId="101" xfId="22" applyFont="1" applyBorder="1" applyAlignment="1" applyProtection="1">
      <alignment horizontal="center" vertical="center"/>
    </xf>
    <xf numFmtId="0" fontId="31" fillId="0" borderId="241" xfId="22" applyFont="1" applyBorder="1" applyAlignment="1" applyProtection="1">
      <alignment horizontal="center" vertical="center"/>
    </xf>
    <xf numFmtId="0" fontId="31" fillId="0" borderId="100" xfId="22" applyFont="1" applyBorder="1" applyAlignment="1" applyProtection="1">
      <alignment horizontal="center" vertical="center" wrapText="1"/>
    </xf>
    <xf numFmtId="0" fontId="31" fillId="0" borderId="91" xfId="22" applyFont="1" applyBorder="1" applyAlignment="1" applyProtection="1">
      <alignment horizontal="center" vertical="center" wrapText="1"/>
    </xf>
    <xf numFmtId="0" fontId="31" fillId="0" borderId="240" xfId="22" applyFont="1" applyBorder="1" applyAlignment="1" applyProtection="1">
      <alignment horizontal="center" vertical="center" wrapText="1"/>
    </xf>
    <xf numFmtId="0" fontId="31" fillId="0" borderId="102" xfId="22" applyFont="1" applyBorder="1" applyAlignment="1" applyProtection="1">
      <alignment horizontal="center" vertical="center" wrapText="1"/>
    </xf>
    <xf numFmtId="0" fontId="31" fillId="0" borderId="103" xfId="22" applyFont="1" applyBorder="1" applyAlignment="1" applyProtection="1">
      <alignment horizontal="center" vertical="center" wrapText="1"/>
    </xf>
    <xf numFmtId="0" fontId="31" fillId="0" borderId="242" xfId="22" applyFont="1" applyBorder="1" applyAlignment="1" applyProtection="1">
      <alignment horizontal="center" vertical="center" wrapText="1"/>
    </xf>
    <xf numFmtId="0" fontId="29" fillId="0" borderId="0" xfId="22" applyFont="1" applyAlignment="1" applyProtection="1">
      <alignment horizontal="center"/>
    </xf>
    <xf numFmtId="0" fontId="26" fillId="0" borderId="0" xfId="0" applyFont="1" applyBorder="1" applyAlignment="1" applyProtection="1">
      <alignment horizontal="center"/>
    </xf>
    <xf numFmtId="0" fontId="16" fillId="0" borderId="0" xfId="0" applyFont="1" applyAlignment="1" applyProtection="1">
      <alignment horizontal="center"/>
    </xf>
    <xf numFmtId="0" fontId="26" fillId="0" borderId="0" xfId="22" applyFont="1" applyBorder="1" applyAlignment="1" applyProtection="1">
      <alignment horizontal="center"/>
    </xf>
    <xf numFmtId="0" fontId="26" fillId="0" borderId="3" xfId="0" applyFont="1" applyBorder="1" applyAlignment="1" applyProtection="1">
      <alignment horizontal="center" vertical="center" wrapText="1"/>
    </xf>
    <xf numFmtId="0" fontId="26" fillId="0" borderId="3" xfId="0" applyFont="1" applyBorder="1" applyAlignment="1" applyProtection="1">
      <alignment horizontal="center" vertical="center"/>
    </xf>
    <xf numFmtId="49" fontId="12" fillId="0" borderId="275" xfId="22" applyNumberFormat="1" applyFont="1" applyFill="1" applyBorder="1" applyAlignment="1">
      <alignment horizontal="center" vertical="center" wrapText="1"/>
    </xf>
    <xf numFmtId="49" fontId="12" fillId="0" borderId="276" xfId="22" applyNumberFormat="1" applyFont="1" applyFill="1" applyBorder="1" applyAlignment="1">
      <alignment horizontal="center" vertical="center" wrapText="1"/>
    </xf>
    <xf numFmtId="0" fontId="41" fillId="0" borderId="0" xfId="0" applyFont="1" applyBorder="1" applyAlignment="1" applyProtection="1">
      <alignment horizontal="center"/>
    </xf>
    <xf numFmtId="172" fontId="17" fillId="0" borderId="0" xfId="22" applyNumberFormat="1" applyFont="1" applyBorder="1" applyAlignment="1" applyProtection="1">
      <alignment horizontal="center" vertical="center" wrapText="1"/>
    </xf>
    <xf numFmtId="0" fontId="31" fillId="0" borderId="0" xfId="22" applyFont="1" applyBorder="1" applyAlignment="1" applyProtection="1">
      <alignment horizontal="center" vertical="center" wrapText="1"/>
    </xf>
    <xf numFmtId="171" fontId="13" fillId="0" borderId="73" xfId="22" applyNumberFormat="1" applyFont="1" applyFill="1" applyBorder="1" applyAlignment="1" applyProtection="1">
      <alignment horizontal="center" vertical="center"/>
    </xf>
    <xf numFmtId="171" fontId="13" fillId="0" borderId="259" xfId="22" applyNumberFormat="1" applyFont="1" applyFill="1" applyBorder="1" applyAlignment="1" applyProtection="1">
      <alignment horizontal="center" vertical="center"/>
    </xf>
    <xf numFmtId="0" fontId="13" fillId="0" borderId="239" xfId="22" applyFont="1" applyBorder="1" applyAlignment="1" applyProtection="1">
      <alignment horizontal="center" vertical="center"/>
    </xf>
    <xf numFmtId="3" fontId="13" fillId="0" borderId="259" xfId="22" applyNumberFormat="1" applyFont="1" applyBorder="1" applyAlignment="1" applyProtection="1">
      <alignment horizontal="center" vertical="center"/>
      <protection locked="0"/>
    </xf>
    <xf numFmtId="0" fontId="13" fillId="0" borderId="259" xfId="22" applyFont="1" applyBorder="1" applyAlignment="1" applyProtection="1">
      <alignment horizontal="center" vertical="center"/>
      <protection locked="0"/>
    </xf>
    <xf numFmtId="0" fontId="63" fillId="0" borderId="0" xfId="22" applyFont="1" applyBorder="1" applyAlignment="1" applyProtection="1">
      <alignment horizontal="center" vertical="center" wrapText="1"/>
    </xf>
    <xf numFmtId="0" fontId="31" fillId="0" borderId="0" xfId="22" applyFont="1" applyBorder="1" applyAlignment="1" applyProtection="1">
      <alignment horizontal="center"/>
    </xf>
    <xf numFmtId="0" fontId="12" fillId="0" borderId="272" xfId="22" applyFont="1" applyFill="1" applyBorder="1" applyAlignment="1">
      <alignment horizontal="center" vertical="center" wrapText="1"/>
    </xf>
    <xf numFmtId="0" fontId="12" fillId="0" borderId="273" xfId="22" applyFont="1" applyFill="1" applyBorder="1" applyAlignment="1">
      <alignment horizontal="center" vertical="center" wrapText="1"/>
    </xf>
    <xf numFmtId="0" fontId="12" fillId="0" borderId="274" xfId="22" applyFont="1" applyFill="1" applyBorder="1" applyAlignment="1">
      <alignment horizontal="center" vertical="center" wrapText="1"/>
    </xf>
    <xf numFmtId="0" fontId="13" fillId="0" borderId="264" xfId="22" applyFont="1" applyBorder="1" applyAlignment="1" applyProtection="1">
      <alignment horizontal="center" vertical="center"/>
      <protection locked="0"/>
    </xf>
    <xf numFmtId="3" fontId="13" fillId="0" borderId="263" xfId="22" applyNumberFormat="1" applyFont="1" applyBorder="1" applyAlignment="1" applyProtection="1">
      <alignment horizontal="center" vertical="center"/>
    </xf>
    <xf numFmtId="3" fontId="13" fillId="0" borderId="264" xfId="22" applyNumberFormat="1" applyFont="1" applyBorder="1" applyAlignment="1" applyProtection="1">
      <alignment horizontal="center" vertical="center"/>
      <protection locked="0"/>
    </xf>
    <xf numFmtId="4" fontId="13" fillId="0" borderId="39" xfId="22" applyNumberFormat="1" applyFont="1" applyFill="1" applyBorder="1" applyAlignment="1" applyProtection="1">
      <alignment horizontal="center" vertical="center"/>
    </xf>
    <xf numFmtId="4" fontId="13" fillId="0" borderId="153" xfId="22" applyNumberFormat="1" applyFont="1" applyFill="1" applyBorder="1" applyAlignment="1" applyProtection="1">
      <alignment horizontal="center" vertical="center"/>
    </xf>
    <xf numFmtId="3" fontId="13" fillId="0" borderId="32" xfId="22" applyNumberFormat="1" applyFont="1" applyFill="1" applyBorder="1" applyAlignment="1" applyProtection="1">
      <alignment horizontal="center" vertical="center"/>
      <protection locked="0"/>
    </xf>
    <xf numFmtId="3" fontId="13" fillId="0" borderId="32" xfId="22" applyNumberFormat="1" applyFont="1" applyBorder="1" applyAlignment="1" applyProtection="1">
      <alignment horizontal="center" vertical="center"/>
    </xf>
    <xf numFmtId="3" fontId="13" fillId="0" borderId="33" xfId="22" applyNumberFormat="1" applyFont="1" applyBorder="1" applyAlignment="1" applyProtection="1">
      <alignment horizontal="center" vertical="center"/>
      <protection locked="0"/>
    </xf>
    <xf numFmtId="3" fontId="13" fillId="0" borderId="73" xfId="22" applyNumberFormat="1" applyFont="1" applyFill="1" applyBorder="1" applyAlignment="1" applyProtection="1">
      <alignment horizontal="center" vertical="center"/>
    </xf>
    <xf numFmtId="3" fontId="13" fillId="0" borderId="259" xfId="22" applyNumberFormat="1" applyFont="1" applyFill="1" applyBorder="1" applyAlignment="1" applyProtection="1">
      <alignment horizontal="center" vertical="center"/>
    </xf>
    <xf numFmtId="0" fontId="13" fillId="0" borderId="239" xfId="22" applyFont="1" applyFill="1" applyBorder="1" applyAlignment="1" applyProtection="1">
      <alignment horizontal="center" vertical="center"/>
      <protection locked="0"/>
    </xf>
    <xf numFmtId="3" fontId="13" fillId="0" borderId="259" xfId="22" applyNumberFormat="1" applyFont="1" applyFill="1" applyBorder="1" applyAlignment="1" applyProtection="1">
      <alignment horizontal="center" vertical="center"/>
      <protection locked="0"/>
    </xf>
    <xf numFmtId="0" fontId="13" fillId="0" borderId="264" xfId="22" applyFont="1" applyFill="1" applyBorder="1" applyAlignment="1" applyProtection="1">
      <alignment horizontal="center" vertical="center"/>
      <protection locked="0"/>
    </xf>
    <xf numFmtId="0" fontId="29" fillId="0" borderId="0" xfId="22" applyFont="1" applyBorder="1" applyAlignment="1">
      <alignment horizontal="center"/>
    </xf>
    <xf numFmtId="0" fontId="100" fillId="0" borderId="0" xfId="39" applyFont="1" applyBorder="1" applyAlignment="1">
      <alignment horizontal="center"/>
    </xf>
    <xf numFmtId="0" fontId="74" fillId="0" borderId="38" xfId="22" applyFont="1" applyFill="1" applyBorder="1" applyAlignment="1" applyProtection="1">
      <alignment horizontal="left" vertical="center" wrapText="1"/>
    </xf>
    <xf numFmtId="0" fontId="74" fillId="0" borderId="225" xfId="22" applyFont="1" applyFill="1" applyBorder="1" applyAlignment="1" applyProtection="1">
      <alignment horizontal="left" vertical="center" wrapText="1"/>
    </xf>
    <xf numFmtId="3" fontId="79" fillId="0" borderId="0" xfId="22" applyNumberFormat="1" applyFont="1" applyBorder="1" applyAlignment="1" applyProtection="1">
      <alignment horizontal="center"/>
    </xf>
    <xf numFmtId="2" fontId="26" fillId="0" borderId="0" xfId="22" applyNumberFormat="1" applyFont="1" applyAlignment="1">
      <alignment horizontal="center"/>
    </xf>
    <xf numFmtId="0" fontId="26" fillId="0" borderId="0" xfId="22" applyFont="1" applyAlignment="1">
      <alignment horizontal="center"/>
    </xf>
    <xf numFmtId="0" fontId="12" fillId="0" borderId="0" xfId="22" applyBorder="1" applyAlignment="1" applyProtection="1">
      <alignment horizontal="center"/>
    </xf>
    <xf numFmtId="49" fontId="87" fillId="0" borderId="0" xfId="22" applyNumberFormat="1" applyFont="1" applyBorder="1" applyAlignment="1" applyProtection="1">
      <alignment horizontal="center" vertical="center" wrapText="1"/>
    </xf>
    <xf numFmtId="0" fontId="29" fillId="0" borderId="0" xfId="22" applyFont="1" applyFill="1" applyBorder="1" applyAlignment="1" applyProtection="1">
      <alignment horizontal="center"/>
    </xf>
    <xf numFmtId="0" fontId="12" fillId="0" borderId="176" xfId="22" applyFont="1" applyBorder="1" applyAlignment="1" applyProtection="1">
      <alignment horizontal="center" vertical="center"/>
    </xf>
    <xf numFmtId="0" fontId="12" fillId="0" borderId="38" xfId="22" applyFont="1" applyBorder="1" applyAlignment="1" applyProtection="1">
      <alignment horizontal="center" vertical="center"/>
    </xf>
    <xf numFmtId="0" fontId="12" fillId="0" borderId="226" xfId="22" applyFont="1" applyBorder="1" applyAlignment="1" applyProtection="1">
      <alignment horizontal="center" vertical="center"/>
    </xf>
    <xf numFmtId="0" fontId="79" fillId="0" borderId="0" xfId="22" applyFont="1" applyBorder="1" applyAlignment="1" applyProtection="1">
      <alignment horizontal="center"/>
    </xf>
    <xf numFmtId="3" fontId="31" fillId="0" borderId="0" xfId="22" applyNumberFormat="1" applyFont="1" applyBorder="1" applyAlignment="1" applyProtection="1">
      <alignment horizontal="center"/>
    </xf>
    <xf numFmtId="0" fontId="87" fillId="0" borderId="0" xfId="22" applyFont="1" applyBorder="1" applyAlignment="1" applyProtection="1">
      <alignment horizontal="center" vertical="center"/>
    </xf>
    <xf numFmtId="0" fontId="31" fillId="0" borderId="175" xfId="22" applyFont="1" applyBorder="1" applyAlignment="1" applyProtection="1">
      <alignment horizontal="center" vertical="center" wrapText="1"/>
    </xf>
    <xf numFmtId="0" fontId="31" fillId="0" borderId="278" xfId="22" applyFont="1" applyBorder="1" applyAlignment="1" applyProtection="1">
      <alignment horizontal="center" vertical="center" wrapText="1"/>
    </xf>
    <xf numFmtId="0" fontId="31" fillId="0" borderId="268" xfId="22" applyFont="1" applyBorder="1" applyAlignment="1" applyProtection="1">
      <alignment horizontal="center" vertical="center" wrapText="1"/>
    </xf>
    <xf numFmtId="0" fontId="222" fillId="25" borderId="0" xfId="0" applyFont="1" applyFill="1" applyAlignment="1" applyProtection="1">
      <alignment horizontal="center" vertical="center"/>
      <protection locked="0"/>
    </xf>
    <xf numFmtId="2" fontId="16" fillId="0" borderId="0" xfId="22" applyNumberFormat="1" applyFont="1" applyFill="1" applyBorder="1" applyAlignment="1" applyProtection="1">
      <alignment horizontal="left"/>
      <protection locked="0"/>
    </xf>
    <xf numFmtId="0" fontId="74" fillId="0" borderId="175" xfId="22" applyFont="1" applyFill="1" applyBorder="1" applyAlignment="1">
      <alignment horizontal="center" vertical="center" wrapText="1"/>
    </xf>
    <xf numFmtId="0" fontId="74" fillId="0" borderId="199" xfId="22" applyFont="1" applyFill="1" applyBorder="1" applyAlignment="1">
      <alignment horizontal="center" vertical="center" wrapText="1"/>
    </xf>
    <xf numFmtId="0" fontId="74" fillId="0" borderId="200" xfId="22" applyFont="1" applyFill="1" applyBorder="1" applyAlignment="1">
      <alignment horizontal="center" vertical="center" wrapText="1"/>
    </xf>
    <xf numFmtId="169" fontId="13" fillId="0" borderId="282" xfId="22" applyNumberFormat="1" applyFont="1" applyFill="1" applyBorder="1" applyAlignment="1" applyProtection="1">
      <alignment horizontal="center" vertical="center"/>
    </xf>
    <xf numFmtId="169" fontId="13" fillId="0" borderId="283" xfId="22" applyNumberFormat="1" applyFont="1" applyFill="1" applyBorder="1" applyAlignment="1" applyProtection="1">
      <alignment horizontal="center" vertical="center"/>
    </xf>
    <xf numFmtId="3" fontId="13" fillId="0" borderId="284" xfId="22" applyNumberFormat="1" applyFont="1" applyFill="1" applyBorder="1" applyAlignment="1" applyProtection="1">
      <alignment horizontal="center" vertical="center"/>
      <protection locked="0"/>
    </xf>
    <xf numFmtId="3" fontId="13" fillId="0" borderId="285" xfId="22" applyNumberFormat="1" applyFont="1" applyFill="1" applyBorder="1" applyAlignment="1" applyProtection="1">
      <alignment horizontal="center" vertical="center"/>
      <protection locked="0"/>
    </xf>
    <xf numFmtId="3" fontId="13" fillId="0" borderId="284" xfId="22" applyNumberFormat="1" applyFont="1" applyFill="1" applyBorder="1" applyAlignment="1" applyProtection="1">
      <alignment horizontal="center" vertical="center"/>
    </xf>
    <xf numFmtId="3" fontId="13" fillId="0" borderId="285" xfId="22" applyNumberFormat="1" applyFont="1" applyFill="1" applyBorder="1" applyAlignment="1" applyProtection="1">
      <alignment horizontal="center" vertical="center"/>
    </xf>
    <xf numFmtId="2" fontId="29" fillId="0" borderId="0" xfId="22" applyNumberFormat="1" applyFont="1" applyBorder="1" applyAlignment="1" applyProtection="1">
      <alignment horizontal="center" wrapText="1"/>
    </xf>
    <xf numFmtId="0" fontId="31" fillId="0" borderId="50" xfId="22" applyFont="1" applyBorder="1" applyAlignment="1" applyProtection="1">
      <alignment horizontal="center" vertical="center" wrapText="1"/>
    </xf>
    <xf numFmtId="3" fontId="201" fillId="0" borderId="0" xfId="71" applyNumberFormat="1" applyFont="1" applyAlignment="1">
      <alignment horizontal="center" wrapText="1"/>
    </xf>
    <xf numFmtId="0" fontId="185" fillId="0" borderId="0" xfId="71" applyFont="1" applyAlignment="1">
      <alignment horizontal="center"/>
    </xf>
    <xf numFmtId="0" fontId="182" fillId="0" borderId="0" xfId="71" applyFont="1" applyAlignment="1" applyProtection="1">
      <alignment horizontal="center"/>
      <protection locked="0"/>
    </xf>
    <xf numFmtId="0" fontId="184" fillId="0" borderId="0" xfId="71" applyFont="1" applyAlignment="1" applyProtection="1">
      <alignment horizontal="center"/>
      <protection locked="0"/>
    </xf>
    <xf numFmtId="0" fontId="31" fillId="0" borderId="199" xfId="22" applyFont="1" applyBorder="1" applyAlignment="1" applyProtection="1">
      <alignment horizontal="center" vertical="center" wrapText="1"/>
    </xf>
    <xf numFmtId="0" fontId="31" fillId="0" borderId="200" xfId="22" applyFont="1" applyBorder="1" applyAlignment="1" applyProtection="1">
      <alignment horizontal="center" vertical="center" wrapText="1"/>
    </xf>
    <xf numFmtId="0" fontId="31" fillId="0" borderId="201" xfId="22" applyFont="1" applyBorder="1" applyAlignment="1" applyProtection="1">
      <alignment horizontal="center" vertical="center" wrapText="1"/>
    </xf>
    <xf numFmtId="0" fontId="31" fillId="0" borderId="202" xfId="22" applyFont="1" applyBorder="1" applyAlignment="1" applyProtection="1">
      <alignment horizontal="center" vertical="center" wrapText="1"/>
    </xf>
    <xf numFmtId="2" fontId="29" fillId="0" borderId="0" xfId="22" applyNumberFormat="1" applyFont="1" applyAlignment="1" applyProtection="1">
      <alignment horizontal="center"/>
    </xf>
    <xf numFmtId="2" fontId="181" fillId="0" borderId="0" xfId="71" applyNumberFormat="1" applyFont="1" applyAlignment="1">
      <alignment horizontal="center"/>
    </xf>
    <xf numFmtId="0" fontId="181" fillId="0" borderId="0" xfId="71" applyFont="1" applyAlignment="1">
      <alignment horizontal="center"/>
    </xf>
    <xf numFmtId="0" fontId="56" fillId="0" borderId="0" xfId="39" applyFont="1" applyBorder="1" applyAlignment="1" applyProtection="1">
      <alignment horizontal="center" vertical="top" wrapText="1"/>
    </xf>
    <xf numFmtId="0" fontId="31" fillId="0" borderId="50" xfId="22" applyFont="1" applyBorder="1" applyAlignment="1" applyProtection="1">
      <alignment horizontal="center" vertical="center"/>
    </xf>
    <xf numFmtId="0" fontId="31" fillId="0" borderId="175" xfId="22" applyFont="1" applyBorder="1" applyAlignment="1" applyProtection="1">
      <alignment horizontal="center" vertical="center"/>
    </xf>
    <xf numFmtId="0" fontId="31" fillId="0" borderId="278" xfId="22" applyFont="1" applyBorder="1" applyAlignment="1" applyProtection="1">
      <alignment horizontal="center" vertical="center"/>
    </xf>
    <xf numFmtId="0" fontId="31" fillId="0" borderId="268" xfId="22" applyFont="1" applyBorder="1" applyAlignment="1" applyProtection="1">
      <alignment horizontal="center" vertical="center"/>
    </xf>
    <xf numFmtId="0" fontId="65" fillId="0" borderId="0" xfId="22" applyFont="1" applyFill="1" applyBorder="1" applyAlignment="1" applyProtection="1">
      <alignment horizontal="center"/>
    </xf>
    <xf numFmtId="169" fontId="13" fillId="0" borderId="40" xfId="22" applyNumberFormat="1" applyFont="1" applyFill="1" applyBorder="1" applyAlignment="1" applyProtection="1">
      <alignment horizontal="center" vertical="center"/>
    </xf>
    <xf numFmtId="169" fontId="13" fillId="0" borderId="120" xfId="22" applyNumberFormat="1" applyFont="1" applyFill="1" applyBorder="1" applyAlignment="1" applyProtection="1">
      <alignment horizontal="center" vertical="center"/>
    </xf>
    <xf numFmtId="169" fontId="13" fillId="0" borderId="74" xfId="22" applyNumberFormat="1" applyFont="1" applyFill="1" applyBorder="1" applyAlignment="1" applyProtection="1">
      <alignment horizontal="center" vertical="center"/>
    </xf>
    <xf numFmtId="169" fontId="13" fillId="0" borderId="264" xfId="22" applyNumberFormat="1" applyFont="1" applyFill="1" applyBorder="1" applyAlignment="1" applyProtection="1">
      <alignment horizontal="center" vertical="center"/>
    </xf>
    <xf numFmtId="3" fontId="13" fillId="0" borderId="40" xfId="22" applyNumberFormat="1" applyFont="1" applyFill="1" applyBorder="1" applyAlignment="1" applyProtection="1">
      <alignment horizontal="center" vertical="center"/>
    </xf>
    <xf numFmtId="3" fontId="13" fillId="0" borderId="120" xfId="22" applyNumberFormat="1" applyFont="1" applyFill="1" applyBorder="1" applyAlignment="1" applyProtection="1">
      <alignment horizontal="center" vertical="center"/>
    </xf>
    <xf numFmtId="3" fontId="13" fillId="0" borderId="39" xfId="22" applyNumberFormat="1" applyFont="1" applyFill="1" applyBorder="1" applyAlignment="1" applyProtection="1">
      <alignment horizontal="center" vertical="center"/>
    </xf>
    <xf numFmtId="3" fontId="13" fillId="0" borderId="74" xfId="22" applyNumberFormat="1" applyFont="1" applyFill="1" applyBorder="1" applyAlignment="1" applyProtection="1">
      <alignment horizontal="center" vertical="center"/>
    </xf>
    <xf numFmtId="3" fontId="13" fillId="0" borderId="264" xfId="22" applyNumberFormat="1" applyFont="1" applyFill="1" applyBorder="1" applyAlignment="1" applyProtection="1">
      <alignment horizontal="center" vertical="center"/>
    </xf>
    <xf numFmtId="0" fontId="26" fillId="0" borderId="0" xfId="31" applyFont="1" applyAlignment="1" applyProtection="1">
      <alignment horizontal="center"/>
    </xf>
    <xf numFmtId="0" fontId="16" fillId="0" borderId="0" xfId="31" applyFont="1" applyBorder="1" applyAlignment="1" applyProtection="1">
      <alignment horizontal="center"/>
    </xf>
    <xf numFmtId="0" fontId="63" fillId="0" borderId="0" xfId="31" applyFont="1" applyAlignment="1" applyProtection="1">
      <alignment horizontal="center"/>
    </xf>
    <xf numFmtId="0" fontId="17" fillId="0" borderId="0" xfId="31" applyFont="1" applyAlignment="1" applyProtection="1">
      <alignment horizontal="center"/>
    </xf>
    <xf numFmtId="0" fontId="29" fillId="0" borderId="0" xfId="31" applyFont="1" applyAlignment="1" applyProtection="1">
      <alignment horizontal="center"/>
    </xf>
    <xf numFmtId="2" fontId="17" fillId="0" borderId="0" xfId="0" applyNumberFormat="1" applyFont="1" applyFill="1" applyBorder="1" applyAlignment="1" applyProtection="1">
      <alignment horizontal="center"/>
    </xf>
    <xf numFmtId="0" fontId="79" fillId="0" borderId="0" xfId="31" applyFont="1" applyAlignment="1" applyProtection="1">
      <alignment horizontal="center"/>
    </xf>
    <xf numFmtId="2" fontId="26" fillId="0" borderId="0" xfId="31" applyNumberFormat="1" applyFont="1" applyAlignment="1" applyProtection="1">
      <alignment horizontal="center"/>
    </xf>
    <xf numFmtId="2" fontId="17" fillId="0" borderId="0" xfId="0" applyNumberFormat="1" applyFont="1" applyFill="1" applyBorder="1" applyAlignment="1" applyProtection="1">
      <alignment horizontal="left" vertical="center"/>
    </xf>
    <xf numFmtId="0" fontId="31" fillId="12" borderId="99" xfId="0" applyFont="1" applyFill="1" applyBorder="1" applyAlignment="1" applyProtection="1">
      <alignment horizontal="center" vertical="center" wrapText="1"/>
    </xf>
    <xf numFmtId="0" fontId="31" fillId="12" borderId="141" xfId="0" applyFont="1" applyFill="1" applyBorder="1" applyAlignment="1" applyProtection="1">
      <alignment horizontal="center" vertical="center" wrapText="1"/>
    </xf>
    <xf numFmtId="0" fontId="31" fillId="0" borderId="104" xfId="0" applyFont="1" applyBorder="1" applyAlignment="1" applyProtection="1">
      <alignment horizontal="center" vertical="center" wrapText="1"/>
    </xf>
    <xf numFmtId="49" fontId="31" fillId="0" borderId="104" xfId="0" applyNumberFormat="1" applyFont="1" applyBorder="1" applyAlignment="1" applyProtection="1">
      <alignment horizontal="center" vertical="center" wrapText="1"/>
    </xf>
    <xf numFmtId="49" fontId="31" fillId="0" borderId="105" xfId="0" applyNumberFormat="1" applyFont="1" applyBorder="1" applyAlignment="1" applyProtection="1">
      <alignment horizontal="center" vertical="center" wrapText="1"/>
    </xf>
    <xf numFmtId="0" fontId="31" fillId="0" borderId="0" xfId="0" applyFont="1" applyAlignment="1" applyProtection="1">
      <alignment horizontal="center"/>
    </xf>
    <xf numFmtId="0" fontId="79" fillId="0" borderId="0" xfId="22" applyFont="1" applyAlignment="1">
      <alignment horizontal="center"/>
    </xf>
    <xf numFmtId="0" fontId="29" fillId="0" borderId="0" xfId="22" applyFont="1" applyAlignment="1">
      <alignment horizontal="center"/>
    </xf>
    <xf numFmtId="3" fontId="17" fillId="0" borderId="99" xfId="53" applyNumberFormat="1" applyFont="1" applyBorder="1" applyAlignment="1" applyProtection="1">
      <alignment horizontal="center" vertical="center" wrapText="1"/>
    </xf>
    <xf numFmtId="3" fontId="17" fillId="0" borderId="398" xfId="53" applyNumberFormat="1" applyFont="1" applyBorder="1" applyAlignment="1" applyProtection="1">
      <alignment horizontal="center" vertical="center" wrapText="1"/>
    </xf>
    <xf numFmtId="3" fontId="17" fillId="0" borderId="399" xfId="53" applyNumberFormat="1" applyFont="1" applyBorder="1" applyAlignment="1" applyProtection="1">
      <alignment horizontal="center" vertical="center" wrapText="1"/>
    </xf>
    <xf numFmtId="3" fontId="29" fillId="0" borderId="100" xfId="53" applyNumberFormat="1" applyFont="1" applyBorder="1" applyAlignment="1" applyProtection="1">
      <alignment horizontal="center" vertical="center" wrapText="1"/>
    </xf>
    <xf numFmtId="3" fontId="29" fillId="0" borderId="384" xfId="53" applyNumberFormat="1" applyFont="1" applyBorder="1" applyAlignment="1" applyProtection="1">
      <alignment horizontal="center" vertical="center" wrapText="1"/>
    </xf>
    <xf numFmtId="3" fontId="29" fillId="0" borderId="389" xfId="53" applyNumberFormat="1" applyFont="1" applyBorder="1" applyAlignment="1" applyProtection="1">
      <alignment horizontal="center" vertical="center" wrapText="1"/>
    </xf>
    <xf numFmtId="0" fontId="29" fillId="0" borderId="0" xfId="39" applyFont="1" applyBorder="1" applyAlignment="1" applyProtection="1">
      <alignment horizontal="center" vertical="top" wrapText="1"/>
    </xf>
    <xf numFmtId="3" fontId="29" fillId="0" borderId="100" xfId="53" applyNumberFormat="1" applyFont="1" applyBorder="1" applyAlignment="1" applyProtection="1">
      <alignment horizontal="center" vertical="center"/>
    </xf>
    <xf numFmtId="3" fontId="29" fillId="0" borderId="102" xfId="53" applyNumberFormat="1" applyFont="1" applyBorder="1" applyAlignment="1" applyProtection="1">
      <alignment horizontal="center" vertical="center"/>
    </xf>
    <xf numFmtId="3" fontId="29" fillId="0" borderId="384" xfId="53" applyNumberFormat="1" applyFont="1" applyBorder="1" applyAlignment="1" applyProtection="1">
      <alignment horizontal="center" vertical="center"/>
    </xf>
    <xf numFmtId="3" fontId="29" fillId="0" borderId="389" xfId="53" applyNumberFormat="1" applyFont="1" applyBorder="1" applyAlignment="1" applyProtection="1">
      <alignment horizontal="center" vertical="center"/>
    </xf>
    <xf numFmtId="3" fontId="41" fillId="0" borderId="387" xfId="53" applyNumberFormat="1" applyFont="1" applyBorder="1" applyAlignment="1" applyProtection="1">
      <alignment horizontal="center" vertical="center" wrapText="1"/>
    </xf>
    <xf numFmtId="3" fontId="41" fillId="0" borderId="400" xfId="53" applyNumberFormat="1" applyFont="1" applyBorder="1" applyAlignment="1" applyProtection="1">
      <alignment horizontal="center" vertical="center" wrapText="1"/>
    </xf>
    <xf numFmtId="3" fontId="15" fillId="0" borderId="0" xfId="52" applyNumberFormat="1" applyFont="1" applyBorder="1" applyAlignment="1" applyProtection="1">
      <alignment horizontal="center"/>
    </xf>
    <xf numFmtId="0" fontId="31" fillId="0" borderId="0" xfId="52" applyFont="1" applyBorder="1" applyAlignment="1" applyProtection="1">
      <alignment horizontal="center"/>
    </xf>
    <xf numFmtId="0" fontId="79" fillId="0" borderId="0" xfId="22" applyFont="1" applyAlignment="1" applyProtection="1">
      <alignment horizontal="center"/>
    </xf>
    <xf numFmtId="3" fontId="17" fillId="0" borderId="16" xfId="53" applyNumberFormat="1" applyFont="1" applyBorder="1" applyAlignment="1" applyProtection="1">
      <alignment horizontal="center" vertical="center" wrapText="1"/>
    </xf>
    <xf numFmtId="3" fontId="29" fillId="0" borderId="3" xfId="53" applyNumberFormat="1" applyFont="1" applyBorder="1" applyAlignment="1" applyProtection="1">
      <alignment horizontal="center" vertical="center" wrapText="1"/>
    </xf>
    <xf numFmtId="3" fontId="29" fillId="0" borderId="2" xfId="53" applyNumberFormat="1" applyFont="1" applyBorder="1" applyAlignment="1" applyProtection="1">
      <alignment horizontal="center" vertical="center" wrapText="1"/>
    </xf>
    <xf numFmtId="3" fontId="29" fillId="0" borderId="3" xfId="53" applyNumberFormat="1" applyFont="1" applyBorder="1" applyAlignment="1" applyProtection="1">
      <alignment horizontal="center"/>
    </xf>
    <xf numFmtId="3" fontId="29" fillId="0" borderId="3" xfId="53" applyNumberFormat="1" applyFont="1" applyBorder="1" applyAlignment="1" applyProtection="1">
      <alignment horizontal="center" vertical="center"/>
    </xf>
    <xf numFmtId="3" fontId="41" fillId="0" borderId="3" xfId="53" applyNumberFormat="1" applyFont="1" applyBorder="1" applyAlignment="1" applyProtection="1">
      <alignment horizontal="center" vertical="center" wrapText="1"/>
    </xf>
    <xf numFmtId="2" fontId="25" fillId="0" borderId="16" xfId="0" applyNumberFormat="1" applyFont="1" applyFill="1" applyBorder="1" applyAlignment="1" applyProtection="1">
      <alignment horizontal="center" vertical="center" wrapText="1"/>
    </xf>
    <xf numFmtId="2" fontId="25" fillId="0" borderId="3" xfId="0" applyNumberFormat="1" applyFont="1" applyFill="1" applyBorder="1" applyAlignment="1" applyProtection="1">
      <alignment horizontal="center" vertical="center" wrapText="1"/>
    </xf>
    <xf numFmtId="2" fontId="105" fillId="0" borderId="63" xfId="0" applyNumberFormat="1" applyFont="1" applyFill="1" applyBorder="1" applyAlignment="1" applyProtection="1">
      <alignment horizontal="center" vertical="center" wrapText="1"/>
    </xf>
    <xf numFmtId="2" fontId="25" fillId="0" borderId="25" xfId="0" applyNumberFormat="1" applyFont="1" applyFill="1" applyBorder="1" applyAlignment="1" applyProtection="1">
      <alignment horizontal="center" vertical="center" wrapText="1"/>
    </xf>
    <xf numFmtId="2" fontId="25" fillId="0" borderId="26" xfId="0" applyNumberFormat="1" applyFont="1" applyFill="1" applyBorder="1" applyAlignment="1" applyProtection="1">
      <alignment horizontal="center" vertical="center" wrapText="1"/>
    </xf>
    <xf numFmtId="2" fontId="25" fillId="0" borderId="5" xfId="0" applyNumberFormat="1" applyFont="1" applyFill="1" applyBorder="1" applyAlignment="1" applyProtection="1">
      <alignment horizontal="center" vertical="center" wrapText="1"/>
    </xf>
    <xf numFmtId="2" fontId="106" fillId="0" borderId="35" xfId="0" applyNumberFormat="1" applyFont="1" applyFill="1" applyBorder="1" applyAlignment="1" applyProtection="1">
      <alignment horizontal="center" vertical="center" wrapText="1"/>
    </xf>
    <xf numFmtId="2" fontId="25" fillId="0" borderId="4" xfId="0" applyNumberFormat="1" applyFont="1" applyFill="1" applyBorder="1" applyAlignment="1" applyProtection="1">
      <alignment horizontal="center" vertical="center" wrapText="1"/>
    </xf>
    <xf numFmtId="2" fontId="106" fillId="0" borderId="28" xfId="0" applyNumberFormat="1" applyFont="1" applyFill="1" applyBorder="1" applyAlignment="1" applyProtection="1">
      <alignment horizontal="center" vertical="center" wrapText="1"/>
    </xf>
    <xf numFmtId="2" fontId="16" fillId="0" borderId="0" xfId="0" applyNumberFormat="1" applyFont="1" applyFill="1" applyAlignment="1" applyProtection="1">
      <alignment horizontal="center"/>
    </xf>
    <xf numFmtId="2" fontId="41" fillId="0" borderId="0" xfId="0" applyNumberFormat="1" applyFont="1" applyAlignment="1">
      <alignment horizontal="left" vertical="center" wrapText="1"/>
    </xf>
    <xf numFmtId="2" fontId="41" fillId="0" borderId="0" xfId="0" applyNumberFormat="1" applyFont="1" applyAlignment="1">
      <alignment horizontal="center" vertical="center" wrapText="1"/>
    </xf>
    <xf numFmtId="2" fontId="41" fillId="0" borderId="100" xfId="0" applyNumberFormat="1" applyFont="1" applyFill="1" applyBorder="1" applyAlignment="1">
      <alignment horizontal="center" vertical="center"/>
    </xf>
    <xf numFmtId="2" fontId="41" fillId="0" borderId="386" xfId="0" applyNumberFormat="1" applyFont="1" applyFill="1" applyBorder="1" applyAlignment="1">
      <alignment horizontal="center" vertical="center"/>
    </xf>
    <xf numFmtId="0" fontId="79" fillId="0" borderId="394" xfId="0" applyFont="1" applyFill="1" applyBorder="1" applyAlignment="1">
      <alignment horizontal="center" vertical="center" wrapText="1"/>
    </xf>
    <xf numFmtId="0" fontId="79" fillId="0" borderId="266" xfId="0" applyFont="1" applyFill="1" applyBorder="1" applyAlignment="1">
      <alignment horizontal="center" vertical="center" wrapText="1"/>
    </xf>
    <xf numFmtId="0" fontId="41" fillId="0" borderId="99" xfId="0" applyFont="1" applyBorder="1" applyAlignment="1">
      <alignment horizontal="center" vertical="center" wrapText="1"/>
    </xf>
    <xf numFmtId="0" fontId="41" fillId="0" borderId="385" xfId="0" applyFont="1" applyBorder="1" applyAlignment="1">
      <alignment horizontal="center" vertical="center" wrapText="1"/>
    </xf>
    <xf numFmtId="0" fontId="79" fillId="0" borderId="0" xfId="0" applyFont="1" applyAlignment="1">
      <alignment horizontal="center" vertical="center"/>
    </xf>
    <xf numFmtId="0" fontId="41" fillId="0" borderId="101" xfId="0" applyFont="1" applyFill="1" applyBorder="1" applyAlignment="1">
      <alignment horizontal="center" vertical="center"/>
    </xf>
    <xf numFmtId="0" fontId="41" fillId="0" borderId="91" xfId="0" applyFont="1" applyFill="1" applyBorder="1" applyAlignment="1">
      <alignment horizontal="center" vertical="center"/>
    </xf>
    <xf numFmtId="0" fontId="41" fillId="0" borderId="385" xfId="0" applyFont="1" applyFill="1" applyBorder="1" applyAlignment="1">
      <alignment horizontal="center" vertical="center"/>
    </xf>
    <xf numFmtId="0" fontId="41" fillId="0" borderId="386" xfId="0" applyFont="1" applyFill="1" applyBorder="1" applyAlignment="1">
      <alignment horizontal="center" vertical="center"/>
    </xf>
    <xf numFmtId="0" fontId="17" fillId="0" borderId="0" xfId="0" applyFont="1" applyFill="1" applyAlignment="1">
      <alignment horizontal="center" vertical="center"/>
    </xf>
    <xf numFmtId="0" fontId="41" fillId="0" borderId="114" xfId="0" applyFont="1" applyFill="1" applyBorder="1" applyAlignment="1">
      <alignment horizontal="center" vertical="center"/>
    </xf>
    <xf numFmtId="0" fontId="41" fillId="0" borderId="97" xfId="0" applyFont="1" applyFill="1" applyBorder="1" applyAlignment="1">
      <alignment horizontal="center" vertical="center"/>
    </xf>
    <xf numFmtId="0" fontId="41" fillId="0" borderId="158" xfId="0" applyFont="1" applyFill="1" applyBorder="1" applyAlignment="1">
      <alignment horizontal="center" vertical="center"/>
    </xf>
    <xf numFmtId="0" fontId="41" fillId="0" borderId="370" xfId="0" applyFont="1" applyFill="1" applyBorder="1" applyAlignment="1">
      <alignment horizontal="center" vertical="center"/>
    </xf>
    <xf numFmtId="0" fontId="86" fillId="0" borderId="0" xfId="38" applyFont="1" applyBorder="1" applyAlignment="1" applyProtection="1">
      <alignment horizontal="center" vertical="center"/>
    </xf>
    <xf numFmtId="0" fontId="61" fillId="0" borderId="0" xfId="38" applyFont="1" applyFill="1" applyBorder="1" applyAlignment="1" applyProtection="1">
      <alignment horizontal="center"/>
    </xf>
    <xf numFmtId="0" fontId="61" fillId="0" borderId="0" xfId="38" applyFont="1" applyFill="1" applyAlignment="1" applyProtection="1">
      <alignment horizontal="center" vertical="center" wrapText="1"/>
    </xf>
    <xf numFmtId="0" fontId="29" fillId="0" borderId="0" xfId="0" applyFont="1" applyFill="1" applyAlignment="1" applyProtection="1">
      <alignment horizontal="center"/>
      <protection locked="0"/>
    </xf>
    <xf numFmtId="0" fontId="31" fillId="0" borderId="99" xfId="0" applyFont="1" applyFill="1" applyBorder="1" applyAlignment="1" applyProtection="1">
      <alignment horizontal="center" vertical="center" wrapText="1"/>
    </xf>
    <xf numFmtId="0" fontId="31" fillId="0" borderId="141" xfId="0" applyFont="1" applyFill="1" applyBorder="1" applyAlignment="1" applyProtection="1">
      <alignment horizontal="center" vertical="center" wrapText="1"/>
    </xf>
    <xf numFmtId="0" fontId="31" fillId="0" borderId="100" xfId="0" applyFont="1" applyFill="1" applyBorder="1" applyAlignment="1" applyProtection="1">
      <alignment horizontal="center" vertical="center" wrapText="1"/>
    </xf>
    <xf numFmtId="0" fontId="31" fillId="0" borderId="104" xfId="0" applyFont="1" applyFill="1" applyBorder="1" applyAlignment="1" applyProtection="1">
      <alignment horizontal="center" vertical="center" wrapText="1"/>
    </xf>
    <xf numFmtId="0" fontId="31" fillId="0" borderId="102" xfId="0" applyFont="1" applyFill="1" applyBorder="1" applyAlignment="1" applyProtection="1">
      <alignment horizontal="center" vertical="center" wrapText="1"/>
    </xf>
    <xf numFmtId="0" fontId="31" fillId="0" borderId="105" xfId="0" applyFont="1" applyFill="1" applyBorder="1" applyAlignment="1" applyProtection="1">
      <alignment horizontal="center" vertical="center" wrapText="1"/>
    </xf>
    <xf numFmtId="0" fontId="31" fillId="0" borderId="0" xfId="0" applyFont="1" applyFill="1" applyAlignment="1" applyProtection="1">
      <alignment horizontal="center"/>
    </xf>
    <xf numFmtId="2" fontId="17" fillId="0" borderId="0" xfId="0" applyNumberFormat="1" applyFont="1" applyAlignment="1">
      <alignment horizontal="center"/>
    </xf>
    <xf numFmtId="0" fontId="41" fillId="0" borderId="0" xfId="0" applyFont="1" applyAlignment="1">
      <alignment horizontal="center" vertical="center"/>
    </xf>
    <xf numFmtId="0" fontId="16" fillId="0" borderId="0" xfId="0" applyFont="1" applyBorder="1" applyAlignment="1" applyProtection="1">
      <alignment horizontal="center" vertical="center" wrapText="1"/>
    </xf>
    <xf numFmtId="49" fontId="21" fillId="0" borderId="99" xfId="0" applyNumberFormat="1" applyFont="1" applyBorder="1" applyAlignment="1" applyProtection="1">
      <alignment horizontal="center" vertical="center" wrapText="1"/>
    </xf>
    <xf numFmtId="49" fontId="21" fillId="0" borderId="364" xfId="0" applyNumberFormat="1" applyFont="1" applyBorder="1" applyAlignment="1" applyProtection="1">
      <alignment horizontal="center" vertical="center" wrapText="1"/>
    </xf>
    <xf numFmtId="0" fontId="21" fillId="0" borderId="102" xfId="0" applyFont="1" applyBorder="1" applyAlignment="1" applyProtection="1">
      <alignment horizontal="center" vertical="center" wrapText="1"/>
    </xf>
    <xf numFmtId="0" fontId="21" fillId="0" borderId="365" xfId="0" applyFont="1" applyBorder="1" applyAlignment="1" applyProtection="1">
      <alignment horizontal="center" vertical="center" wrapText="1"/>
    </xf>
    <xf numFmtId="0" fontId="11" fillId="0" borderId="163" xfId="0" applyFont="1" applyBorder="1" applyAlignment="1" applyProtection="1">
      <alignment horizontal="center"/>
    </xf>
    <xf numFmtId="0" fontId="11" fillId="0" borderId="100" xfId="0" applyFont="1" applyBorder="1" applyAlignment="1" applyProtection="1">
      <alignment horizontal="center"/>
    </xf>
    <xf numFmtId="0" fontId="11" fillId="0" borderId="102" xfId="0" applyFont="1" applyBorder="1" applyAlignment="1" applyProtection="1">
      <alignment horizontal="center"/>
    </xf>
    <xf numFmtId="0" fontId="123" fillId="0" borderId="0" xfId="0" applyFont="1" applyAlignment="1" applyProtection="1">
      <alignment horizontal="center"/>
      <protection locked="0"/>
    </xf>
    <xf numFmtId="2" fontId="41" fillId="0" borderId="0" xfId="0" applyNumberFormat="1" applyFont="1" applyFill="1" applyBorder="1" applyAlignment="1" applyProtection="1">
      <alignment horizontal="left"/>
    </xf>
    <xf numFmtId="0" fontId="26"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7" fillId="0" borderId="0" xfId="0" applyFont="1" applyFill="1" applyAlignment="1" applyProtection="1">
      <alignment horizontal="center"/>
    </xf>
    <xf numFmtId="0" fontId="29" fillId="0" borderId="0" xfId="25" applyFont="1" applyFill="1" applyAlignment="1">
      <alignment horizontal="center"/>
    </xf>
    <xf numFmtId="0" fontId="29" fillId="0" borderId="0" xfId="25" applyFont="1" applyFill="1" applyBorder="1" applyAlignment="1" applyProtection="1">
      <alignment horizontal="center"/>
    </xf>
    <xf numFmtId="2" fontId="16" fillId="0" borderId="0" xfId="25" applyNumberFormat="1" applyFont="1" applyFill="1" applyBorder="1" applyAlignment="1" applyProtection="1">
      <alignment horizontal="left"/>
    </xf>
    <xf numFmtId="0" fontId="31" fillId="0" borderId="0" xfId="25" applyFont="1" applyFill="1" applyBorder="1" applyAlignment="1" applyProtection="1">
      <alignment horizontal="center"/>
    </xf>
    <xf numFmtId="0" fontId="41" fillId="0" borderId="0" xfId="25" applyFont="1" applyFill="1" applyBorder="1" applyAlignment="1" applyProtection="1">
      <alignment horizontal="center"/>
    </xf>
    <xf numFmtId="0" fontId="31" fillId="0" borderId="267" xfId="25" applyFont="1" applyFill="1" applyBorder="1" applyAlignment="1" applyProtection="1">
      <alignment horizontal="center" vertical="center" wrapText="1"/>
    </xf>
    <xf numFmtId="0" fontId="31" fillId="0" borderId="268" xfId="25" applyFont="1" applyFill="1" applyBorder="1" applyAlignment="1" applyProtection="1">
      <alignment horizontal="center" vertical="center" wrapText="1"/>
    </xf>
    <xf numFmtId="0" fontId="70" fillId="0" borderId="267" xfId="25" applyFont="1" applyFill="1" applyBorder="1" applyAlignment="1" applyProtection="1">
      <alignment horizontal="center" vertical="center" wrapText="1"/>
    </xf>
    <xf numFmtId="0" fontId="70" fillId="0" borderId="268" xfId="25" applyFont="1" applyFill="1" applyBorder="1" applyAlignment="1" applyProtection="1">
      <alignment horizontal="center" vertical="center" wrapText="1"/>
    </xf>
    <xf numFmtId="0" fontId="115" fillId="0" borderId="267" xfId="25" applyFont="1" applyFill="1" applyBorder="1" applyAlignment="1" applyProtection="1">
      <alignment horizontal="center" vertical="center" wrapText="1"/>
    </xf>
    <xf numFmtId="0" fontId="115" fillId="0" borderId="268" xfId="25" applyFont="1" applyFill="1" applyBorder="1" applyAlignment="1" applyProtection="1">
      <alignment horizontal="center" vertical="center" wrapText="1"/>
    </xf>
    <xf numFmtId="1" fontId="26" fillId="0" borderId="0" xfId="25" applyNumberFormat="1" applyFont="1" applyFill="1" applyAlignment="1">
      <alignment horizontal="center" vertical="center"/>
    </xf>
    <xf numFmtId="0" fontId="26" fillId="0" borderId="0" xfId="25" applyFont="1" applyFill="1" applyAlignment="1">
      <alignment horizontal="center" vertical="center"/>
    </xf>
    <xf numFmtId="0" fontId="79" fillId="0" borderId="0" xfId="25" applyFont="1" applyFill="1" applyAlignment="1">
      <alignment horizontal="center"/>
    </xf>
    <xf numFmtId="0" fontId="63" fillId="0" borderId="0" xfId="25" applyFont="1" applyFill="1" applyAlignment="1">
      <alignment horizontal="center"/>
    </xf>
    <xf numFmtId="0" fontId="41" fillId="0" borderId="0" xfId="0" applyFont="1" applyAlignment="1">
      <alignment horizontal="center"/>
    </xf>
    <xf numFmtId="2" fontId="31" fillId="0" borderId="0" xfId="0" applyNumberFormat="1" applyFont="1" applyAlignment="1">
      <alignment horizontal="center"/>
    </xf>
    <xf numFmtId="0" fontId="31" fillId="0" borderId="0" xfId="0" applyFont="1" applyAlignment="1">
      <alignment horizontal="center"/>
    </xf>
    <xf numFmtId="0" fontId="123" fillId="0" borderId="0" xfId="0" applyFont="1" applyAlignment="1">
      <alignment horizontal="center"/>
    </xf>
    <xf numFmtId="1" fontId="41" fillId="0" borderId="0" xfId="0" applyNumberFormat="1" applyFont="1" applyAlignment="1">
      <alignment horizontal="center"/>
    </xf>
    <xf numFmtId="0" fontId="31" fillId="0" borderId="99" xfId="25" applyFont="1" applyFill="1" applyBorder="1" applyAlignment="1" applyProtection="1">
      <alignment horizontal="center" vertical="center" wrapText="1"/>
    </xf>
    <xf numFmtId="0" fontId="31" fillId="0" borderId="399" xfId="25" applyFont="1" applyFill="1" applyBorder="1" applyAlignment="1" applyProtection="1">
      <alignment horizontal="center" vertical="center" wrapText="1"/>
    </xf>
    <xf numFmtId="0" fontId="31" fillId="0" borderId="100" xfId="25" applyFont="1" applyFill="1" applyBorder="1" applyAlignment="1" applyProtection="1">
      <alignment horizontal="left" vertical="center" wrapText="1"/>
    </xf>
    <xf numFmtId="0" fontId="31" fillId="0" borderId="389" xfId="25" applyFont="1" applyFill="1" applyBorder="1" applyAlignment="1" applyProtection="1">
      <alignment horizontal="left" vertical="center" wrapText="1"/>
    </xf>
    <xf numFmtId="0" fontId="70" fillId="0" borderId="100" xfId="25" applyFont="1" applyFill="1" applyBorder="1" applyAlignment="1" applyProtection="1">
      <alignment horizontal="center" vertical="center" wrapText="1"/>
    </xf>
    <xf numFmtId="0" fontId="70" fillId="0" borderId="389" xfId="25" applyFont="1" applyFill="1" applyBorder="1" applyAlignment="1" applyProtection="1">
      <alignment horizontal="center" vertical="center" wrapText="1"/>
    </xf>
    <xf numFmtId="0" fontId="115" fillId="0" borderId="100" xfId="25" applyFont="1" applyFill="1" applyBorder="1" applyAlignment="1" applyProtection="1">
      <alignment horizontal="center" vertical="center" wrapText="1"/>
    </xf>
    <xf numFmtId="0" fontId="115" fillId="0" borderId="389" xfId="25" applyFont="1" applyFill="1" applyBorder="1" applyAlignment="1" applyProtection="1">
      <alignment horizontal="center" vertical="center" wrapText="1"/>
    </xf>
    <xf numFmtId="0" fontId="31" fillId="0" borderId="102" xfId="25" applyFont="1" applyFill="1" applyBorder="1" applyAlignment="1" applyProtection="1">
      <alignment horizontal="center" vertical="center" wrapText="1"/>
    </xf>
    <xf numFmtId="0" fontId="31" fillId="0" borderId="400" xfId="25" applyFont="1" applyFill="1" applyBorder="1" applyAlignment="1" applyProtection="1">
      <alignment horizontal="center" vertical="center" wrapText="1"/>
    </xf>
    <xf numFmtId="0" fontId="31" fillId="0" borderId="385" xfId="25" applyFont="1" applyFill="1" applyBorder="1" applyAlignment="1" applyProtection="1">
      <alignment horizontal="center" vertical="center" wrapText="1"/>
    </xf>
    <xf numFmtId="0" fontId="31" fillId="0" borderId="100" xfId="25" applyFont="1" applyFill="1" applyBorder="1" applyAlignment="1" applyProtection="1">
      <alignment horizontal="center" vertical="center" wrapText="1"/>
    </xf>
    <xf numFmtId="0" fontId="31" fillId="0" borderId="386" xfId="25" applyFont="1" applyFill="1" applyBorder="1" applyAlignment="1" applyProtection="1">
      <alignment horizontal="center" vertical="center" wrapText="1"/>
    </xf>
    <xf numFmtId="0" fontId="70" fillId="0" borderId="386" xfId="25" applyFont="1" applyFill="1" applyBorder="1" applyAlignment="1" applyProtection="1">
      <alignment horizontal="center" vertical="center" wrapText="1"/>
    </xf>
    <xf numFmtId="0" fontId="115" fillId="0" borderId="386" xfId="25" applyFont="1" applyFill="1" applyBorder="1" applyAlignment="1" applyProtection="1">
      <alignment horizontal="center" vertical="center" wrapText="1"/>
    </xf>
    <xf numFmtId="0" fontId="31" fillId="0" borderId="388" xfId="25" applyFont="1" applyFill="1" applyBorder="1" applyAlignment="1" applyProtection="1">
      <alignment horizontal="center" vertical="center" wrapText="1"/>
    </xf>
    <xf numFmtId="0" fontId="29" fillId="0" borderId="0" xfId="0" applyFont="1" applyFill="1" applyAlignment="1">
      <alignment horizontal="center"/>
    </xf>
    <xf numFmtId="0" fontId="41" fillId="0" borderId="99" xfId="0" applyFont="1" applyFill="1" applyBorder="1" applyAlignment="1" applyProtection="1">
      <alignment horizontal="center" vertical="center" wrapText="1"/>
    </xf>
    <xf numFmtId="0" fontId="41" fillId="0" borderId="398" xfId="0" applyFont="1" applyFill="1" applyBorder="1" applyAlignment="1" applyProtection="1">
      <alignment horizontal="center" vertical="center" wrapText="1"/>
    </xf>
    <xf numFmtId="0" fontId="79" fillId="0" borderId="100" xfId="0" applyFont="1" applyFill="1" applyBorder="1" applyAlignment="1" applyProtection="1">
      <alignment horizontal="center" vertical="center" wrapText="1"/>
    </xf>
    <xf numFmtId="0" fontId="79" fillId="0" borderId="384" xfId="0" applyFont="1" applyFill="1" applyBorder="1" applyAlignment="1" applyProtection="1">
      <alignment horizontal="center" vertical="center" wrapText="1"/>
    </xf>
    <xf numFmtId="0" fontId="31" fillId="0" borderId="384" xfId="0" applyFont="1" applyFill="1" applyBorder="1" applyAlignment="1" applyProtection="1">
      <alignment horizontal="center" vertical="center" wrapText="1"/>
    </xf>
    <xf numFmtId="0" fontId="70" fillId="0" borderId="100" xfId="0" applyFont="1" applyFill="1" applyBorder="1" applyAlignment="1" applyProtection="1">
      <alignment horizontal="center" vertical="center" wrapText="1"/>
    </xf>
    <xf numFmtId="0" fontId="70" fillId="0" borderId="384" xfId="0" applyFont="1" applyFill="1" applyBorder="1" applyAlignment="1" applyProtection="1">
      <alignment horizontal="center" vertical="center" wrapText="1"/>
    </xf>
    <xf numFmtId="0" fontId="31" fillId="0" borderId="387" xfId="0" applyFont="1" applyFill="1" applyBorder="1" applyAlignment="1" applyProtection="1">
      <alignment horizontal="center" vertical="center" wrapText="1"/>
    </xf>
    <xf numFmtId="0" fontId="63" fillId="0" borderId="0" xfId="0" applyFont="1" applyFill="1" applyAlignment="1">
      <alignment horizontal="center"/>
    </xf>
    <xf numFmtId="0" fontId="79" fillId="0" borderId="0" xfId="0" applyFont="1" applyFill="1" applyAlignment="1">
      <alignment horizontal="center"/>
    </xf>
    <xf numFmtId="1" fontId="26" fillId="0" borderId="0" xfId="0" applyNumberFormat="1" applyFont="1" applyFill="1" applyAlignment="1">
      <alignment horizontal="center"/>
    </xf>
    <xf numFmtId="0" fontId="26" fillId="0" borderId="0" xfId="0" applyFont="1" applyFill="1" applyAlignment="1">
      <alignment horizontal="center"/>
    </xf>
    <xf numFmtId="0" fontId="41" fillId="0" borderId="114" xfId="0" applyFont="1" applyFill="1" applyBorder="1" applyAlignment="1" applyProtection="1">
      <alignment horizontal="center" vertical="center" wrapText="1"/>
    </xf>
    <xf numFmtId="0" fontId="79" fillId="0" borderId="97" xfId="0" applyFont="1" applyFill="1" applyBorder="1" applyAlignment="1" applyProtection="1">
      <alignment horizontal="center" vertical="center" wrapText="1"/>
    </xf>
    <xf numFmtId="0" fontId="31" fillId="0" borderId="97" xfId="0" applyFont="1" applyFill="1" applyBorder="1" applyAlignment="1" applyProtection="1">
      <alignment horizontal="center" vertical="center" wrapText="1"/>
    </xf>
    <xf numFmtId="0" fontId="70" fillId="0" borderId="97" xfId="0" applyFont="1" applyFill="1" applyBorder="1" applyAlignment="1" applyProtection="1">
      <alignment horizontal="center" vertical="center" wrapText="1"/>
    </xf>
    <xf numFmtId="0" fontId="31" fillId="0" borderId="98" xfId="0" applyFont="1" applyFill="1" applyBorder="1" applyAlignment="1" applyProtection="1">
      <alignment horizontal="center" vertical="center" wrapText="1"/>
    </xf>
    <xf numFmtId="2" fontId="26" fillId="0" borderId="0" xfId="0" applyNumberFormat="1" applyFont="1" applyFill="1" applyAlignment="1" applyProtection="1">
      <alignment horizontal="center"/>
      <protection locked="0"/>
    </xf>
    <xf numFmtId="0" fontId="26" fillId="0" borderId="0" xfId="0" applyFont="1" applyFill="1" applyAlignment="1" applyProtection="1">
      <alignment horizontal="center"/>
      <protection locked="0"/>
    </xf>
    <xf numFmtId="0" fontId="120" fillId="0" borderId="0" xfId="0" applyFont="1" applyBorder="1" applyAlignment="1" applyProtection="1">
      <alignment horizontal="center"/>
    </xf>
    <xf numFmtId="0" fontId="120" fillId="0" borderId="0" xfId="0" applyFont="1" applyAlignment="1" applyProtection="1">
      <alignment horizontal="center" vertical="center"/>
    </xf>
    <xf numFmtId="2" fontId="16" fillId="0" borderId="0" xfId="0" applyNumberFormat="1" applyFont="1" applyBorder="1" applyAlignment="1" applyProtection="1">
      <alignment horizontal="left"/>
    </xf>
    <xf numFmtId="0" fontId="16" fillId="0" borderId="0" xfId="0" applyFont="1" applyBorder="1" applyAlignment="1" applyProtection="1">
      <alignment horizontal="center"/>
      <protection locked="0"/>
    </xf>
    <xf numFmtId="0" fontId="41" fillId="0" borderId="0" xfId="0" applyFont="1" applyAlignment="1" applyProtection="1">
      <alignment horizontal="center"/>
    </xf>
    <xf numFmtId="0" fontId="63" fillId="0" borderId="0" xfId="0" applyFont="1" applyAlignment="1" applyProtection="1">
      <alignment horizontal="center" vertical="center"/>
    </xf>
    <xf numFmtId="0" fontId="41" fillId="0" borderId="0" xfId="0" applyFont="1" applyAlignment="1" applyProtection="1">
      <alignment horizontal="center" vertical="center"/>
    </xf>
    <xf numFmtId="2" fontId="16" fillId="0" borderId="0" xfId="0" applyNumberFormat="1" applyFont="1" applyAlignment="1" applyProtection="1">
      <alignment horizontal="center"/>
    </xf>
    <xf numFmtId="0" fontId="29" fillId="0" borderId="0" xfId="43" applyFont="1" applyFill="1" applyBorder="1" applyAlignment="1" applyProtection="1">
      <alignment horizontal="center" vertical="center"/>
    </xf>
    <xf numFmtId="0" fontId="11" fillId="0" borderId="79" xfId="25" applyFont="1" applyBorder="1" applyAlignment="1" applyProtection="1">
      <alignment horizontal="center" vertical="center" wrapText="1"/>
    </xf>
    <xf numFmtId="0" fontId="11" fillId="0" borderId="112" xfId="25" applyFont="1" applyBorder="1" applyAlignment="1" applyProtection="1">
      <alignment horizontal="center" vertical="center" wrapText="1"/>
    </xf>
    <xf numFmtId="0" fontId="11" fillId="0" borderId="78" xfId="25" applyFont="1" applyBorder="1" applyAlignment="1" applyProtection="1">
      <alignment horizontal="center" vertical="center" wrapText="1"/>
    </xf>
    <xf numFmtId="0" fontId="31" fillId="0" borderId="0" xfId="25" applyFont="1" applyAlignment="1" applyProtection="1">
      <alignment horizontal="center"/>
    </xf>
    <xf numFmtId="0" fontId="41" fillId="0" borderId="154" xfId="25" applyFont="1" applyBorder="1" applyAlignment="1" applyProtection="1">
      <alignment horizontal="center" vertical="center"/>
    </xf>
    <xf numFmtId="0" fontId="41" fillId="0" borderId="81" xfId="25" applyFont="1" applyBorder="1" applyAlignment="1" applyProtection="1">
      <alignment horizontal="center" vertical="center"/>
    </xf>
    <xf numFmtId="0" fontId="123" fillId="0" borderId="0" xfId="25" applyFont="1" applyAlignment="1" applyProtection="1">
      <alignment horizontal="center" vertical="center" wrapText="1"/>
    </xf>
    <xf numFmtId="0" fontId="79" fillId="0" borderId="0" xfId="25" applyFont="1" applyAlignment="1" applyProtection="1">
      <alignment horizontal="center"/>
    </xf>
    <xf numFmtId="0" fontId="26" fillId="0" borderId="0" xfId="25" applyFont="1" applyAlignment="1" applyProtection="1">
      <alignment horizontal="center" vertical="center" wrapText="1"/>
    </xf>
    <xf numFmtId="0" fontId="56" fillId="0" borderId="0" xfId="25" applyFont="1" applyBorder="1" applyAlignment="1" applyProtection="1">
      <alignment horizontal="center" vertical="center" wrapText="1"/>
    </xf>
    <xf numFmtId="0" fontId="31" fillId="0" borderId="0" xfId="25" applyFont="1" applyBorder="1" applyAlignment="1" applyProtection="1">
      <alignment horizontal="center"/>
    </xf>
    <xf numFmtId="2" fontId="26" fillId="0" borderId="0" xfId="25" applyNumberFormat="1" applyFont="1" applyAlignment="1" applyProtection="1">
      <alignment horizontal="center" vertical="center" wrapText="1"/>
    </xf>
    <xf numFmtId="0" fontId="29" fillId="0" borderId="0" xfId="25" applyFont="1" applyAlignment="1" applyProtection="1">
      <alignment horizontal="center" vertical="center" wrapText="1"/>
    </xf>
    <xf numFmtId="0" fontId="29" fillId="0" borderId="0" xfId="25" applyFont="1" applyAlignment="1" applyProtection="1">
      <alignment horizontal="center"/>
    </xf>
    <xf numFmtId="0" fontId="31" fillId="0" borderId="72" xfId="25" applyFont="1" applyBorder="1" applyAlignment="1" applyProtection="1">
      <alignment horizontal="center" vertical="center" wrapText="1"/>
    </xf>
    <xf numFmtId="0" fontId="31" fillId="0" borderId="73" xfId="25" applyFont="1" applyBorder="1" applyAlignment="1" applyProtection="1">
      <alignment horizontal="center" vertical="center" wrapText="1"/>
    </xf>
    <xf numFmtId="0" fontId="31" fillId="0" borderId="29" xfId="25" applyFont="1" applyBorder="1" applyAlignment="1" applyProtection="1">
      <alignment horizontal="center" vertical="center" wrapText="1"/>
    </xf>
    <xf numFmtId="0" fontId="31" fillId="0" borderId="75" xfId="25" applyFont="1" applyBorder="1" applyAlignment="1" applyProtection="1">
      <alignment horizontal="center" vertical="center" wrapText="1"/>
    </xf>
    <xf numFmtId="0" fontId="31" fillId="0" borderId="76" xfId="25" applyFont="1" applyBorder="1" applyAlignment="1" applyProtection="1">
      <alignment horizontal="center" vertical="center" wrapText="1"/>
    </xf>
    <xf numFmtId="0" fontId="29" fillId="0" borderId="0" xfId="0" applyFont="1" applyFill="1" applyAlignment="1" applyProtection="1">
      <alignment horizontal="center" vertical="center"/>
    </xf>
    <xf numFmtId="0" fontId="29" fillId="0" borderId="0" xfId="25" applyFont="1" applyAlignment="1">
      <alignment horizontal="center"/>
    </xf>
    <xf numFmtId="0" fontId="56" fillId="0" borderId="0" xfId="25" applyFont="1" applyBorder="1" applyAlignment="1">
      <alignment horizontal="center" wrapText="1"/>
    </xf>
    <xf numFmtId="0" fontId="56" fillId="0" borderId="0" xfId="25" applyFont="1" applyBorder="1" applyAlignment="1">
      <alignment horizontal="center" vertical="center" wrapText="1"/>
    </xf>
    <xf numFmtId="0" fontId="31" fillId="12" borderId="0" xfId="25" applyFont="1" applyFill="1" applyBorder="1" applyAlignment="1">
      <alignment horizontal="center" wrapText="1"/>
    </xf>
    <xf numFmtId="0" fontId="56" fillId="0" borderId="0" xfId="25" applyFont="1" applyAlignment="1">
      <alignment horizontal="center" vertical="center" wrapText="1"/>
    </xf>
    <xf numFmtId="0" fontId="56" fillId="0" borderId="0" xfId="25" applyFont="1" applyBorder="1" applyAlignment="1" applyProtection="1">
      <alignment horizontal="center" wrapText="1"/>
    </xf>
    <xf numFmtId="0" fontId="11" fillId="0" borderId="116" xfId="25" applyFont="1" applyBorder="1" applyAlignment="1" applyProtection="1">
      <alignment horizontal="center" vertical="center" wrapText="1"/>
    </xf>
    <xf numFmtId="0" fontId="31" fillId="0" borderId="32" xfId="25" applyFont="1" applyBorder="1" applyAlignment="1" applyProtection="1">
      <alignment horizontal="center" vertical="center" wrapText="1"/>
    </xf>
    <xf numFmtId="0" fontId="56" fillId="0" borderId="0" xfId="25" applyFont="1" applyBorder="1" applyAlignment="1" applyProtection="1">
      <alignment horizontal="center"/>
    </xf>
    <xf numFmtId="0" fontId="41" fillId="0" borderId="155" xfId="25" applyFont="1" applyBorder="1" applyAlignment="1" applyProtection="1">
      <alignment horizontal="center" vertical="center"/>
    </xf>
    <xf numFmtId="0" fontId="41" fillId="0" borderId="156" xfId="25" applyFont="1" applyBorder="1" applyAlignment="1" applyProtection="1">
      <alignment horizontal="center" vertical="center"/>
    </xf>
    <xf numFmtId="0" fontId="31" fillId="12" borderId="72" xfId="25" applyFont="1" applyFill="1" applyBorder="1" applyAlignment="1" applyProtection="1">
      <alignment horizontal="center" vertical="center" wrapText="1"/>
    </xf>
    <xf numFmtId="0" fontId="31" fillId="12" borderId="32" xfId="25" applyFont="1" applyFill="1" applyBorder="1" applyAlignment="1" applyProtection="1">
      <alignment horizontal="center" vertical="center" wrapText="1"/>
    </xf>
    <xf numFmtId="0" fontId="33" fillId="0" borderId="72" xfId="25" applyFont="1" applyBorder="1" applyAlignment="1" applyProtection="1">
      <alignment horizontal="center"/>
    </xf>
    <xf numFmtId="0" fontId="33" fillId="0" borderId="73" xfId="25" applyFont="1" applyBorder="1" applyAlignment="1" applyProtection="1">
      <alignment horizontal="center"/>
    </xf>
    <xf numFmtId="0" fontId="31" fillId="0" borderId="0" xfId="25" applyFont="1" applyFill="1" applyBorder="1" applyAlignment="1" applyProtection="1">
      <alignment horizontal="left" wrapText="1"/>
    </xf>
    <xf numFmtId="0" fontId="29" fillId="0" borderId="0" xfId="43" applyFont="1" applyFill="1" applyBorder="1" applyAlignment="1" applyProtection="1">
      <alignment horizontal="center"/>
    </xf>
    <xf numFmtId="0" fontId="164" fillId="0" borderId="0" xfId="22" applyFont="1" applyAlignment="1" applyProtection="1">
      <alignment horizontal="center"/>
    </xf>
    <xf numFmtId="0" fontId="163" fillId="0" borderId="0" xfId="22" applyFont="1" applyAlignment="1" applyProtection="1">
      <alignment horizontal="center"/>
    </xf>
    <xf numFmtId="2" fontId="187" fillId="0" borderId="0" xfId="22" applyNumberFormat="1" applyFont="1" applyAlignment="1" applyProtection="1">
      <alignment horizontal="center"/>
    </xf>
    <xf numFmtId="0" fontId="163" fillId="0" borderId="100" xfId="22" applyFont="1" applyBorder="1" applyAlignment="1" applyProtection="1">
      <alignment horizontal="center" vertical="center" wrapText="1"/>
    </xf>
    <xf numFmtId="0" fontId="163" fillId="0" borderId="240" xfId="22" applyFont="1" applyBorder="1" applyAlignment="1" applyProtection="1">
      <alignment horizontal="center" vertical="center" wrapText="1"/>
    </xf>
    <xf numFmtId="0" fontId="163" fillId="0" borderId="102" xfId="22" applyFont="1" applyBorder="1" applyAlignment="1" applyProtection="1">
      <alignment horizontal="center" vertical="center" wrapText="1"/>
    </xf>
    <xf numFmtId="0" fontId="163" fillId="0" borderId="242" xfId="22" applyFont="1" applyBorder="1" applyAlignment="1" applyProtection="1">
      <alignment horizontal="center" vertical="center" wrapText="1"/>
    </xf>
    <xf numFmtId="0" fontId="163" fillId="0" borderId="100" xfId="22" applyFont="1" applyBorder="1" applyAlignment="1" applyProtection="1">
      <alignment horizontal="center" vertical="top" wrapText="1"/>
    </xf>
    <xf numFmtId="0" fontId="163" fillId="0" borderId="99" xfId="22" applyFont="1" applyBorder="1" applyAlignment="1" applyProtection="1">
      <alignment horizontal="center" vertical="center"/>
    </xf>
    <xf numFmtId="0" fontId="163" fillId="0" borderId="241" xfId="22" applyFont="1" applyBorder="1" applyAlignment="1" applyProtection="1">
      <alignment horizontal="center" vertical="center"/>
    </xf>
    <xf numFmtId="0" fontId="220" fillId="0" borderId="0" xfId="22" applyFont="1" applyAlignment="1" applyProtection="1">
      <alignment horizontal="center" vertical="center"/>
    </xf>
    <xf numFmtId="0" fontId="16" fillId="0" borderId="0" xfId="0" applyFont="1" applyAlignment="1">
      <alignment horizontal="center"/>
    </xf>
    <xf numFmtId="2" fontId="16" fillId="0" borderId="0" xfId="0" applyNumberFormat="1" applyFont="1" applyAlignment="1">
      <alignment horizontal="center"/>
    </xf>
    <xf numFmtId="0" fontId="159" fillId="0" borderId="0" xfId="71" applyFont="1" applyAlignment="1" applyProtection="1">
      <alignment horizontal="center"/>
      <protection locked="0"/>
    </xf>
    <xf numFmtId="2" fontId="155" fillId="0" borderId="265" xfId="71" applyNumberFormat="1" applyFont="1" applyBorder="1" applyAlignment="1" applyProtection="1">
      <alignment horizontal="left" vertical="center" wrapText="1"/>
    </xf>
    <xf numFmtId="0" fontId="159" fillId="0" borderId="0" xfId="71" applyFont="1" applyAlignment="1" applyProtection="1">
      <alignment horizontal="center"/>
    </xf>
    <xf numFmtId="2" fontId="155" fillId="0" borderId="99" xfId="71" applyNumberFormat="1" applyFont="1" applyBorder="1" applyAlignment="1" applyProtection="1">
      <alignment horizontal="center" vertical="center"/>
    </xf>
    <xf numFmtId="2" fontId="155" fillId="0" borderId="385" xfId="71" applyNumberFormat="1" applyFont="1" applyBorder="1" applyAlignment="1" applyProtection="1">
      <alignment horizontal="center" vertical="center"/>
    </xf>
    <xf numFmtId="2" fontId="31" fillId="0" borderId="100" xfId="71" applyNumberFormat="1" applyFont="1" applyFill="1" applyBorder="1" applyAlignment="1" applyProtection="1">
      <alignment horizontal="center" vertical="center" wrapText="1"/>
    </xf>
    <xf numFmtId="2" fontId="31" fillId="0" borderId="386" xfId="71" applyNumberFormat="1" applyFont="1" applyFill="1" applyBorder="1" applyAlignment="1" applyProtection="1">
      <alignment horizontal="center" vertical="center" wrapText="1"/>
    </xf>
    <xf numFmtId="2" fontId="155" fillId="0" borderId="102" xfId="71" applyNumberFormat="1" applyFont="1" applyBorder="1" applyAlignment="1" applyProtection="1">
      <alignment horizontal="center" vertical="center"/>
    </xf>
    <xf numFmtId="2" fontId="155" fillId="0" borderId="388" xfId="71" applyNumberFormat="1" applyFont="1" applyBorder="1" applyAlignment="1" applyProtection="1">
      <alignment horizontal="center" vertical="center"/>
    </xf>
    <xf numFmtId="2" fontId="155" fillId="0" borderId="100" xfId="71" applyNumberFormat="1" applyFont="1" applyBorder="1" applyAlignment="1" applyProtection="1">
      <alignment horizontal="left" vertical="center" wrapText="1"/>
    </xf>
    <xf numFmtId="0" fontId="159" fillId="0" borderId="222" xfId="71" applyFont="1" applyBorder="1" applyAlignment="1" applyProtection="1">
      <alignment horizontal="center" vertical="top"/>
    </xf>
    <xf numFmtId="2" fontId="155" fillId="0" borderId="386" xfId="71" applyNumberFormat="1" applyFont="1" applyBorder="1" applyAlignment="1" applyProtection="1">
      <alignment horizontal="left" vertical="center" wrapText="1"/>
    </xf>
    <xf numFmtId="2" fontId="155" fillId="0" borderId="384" xfId="71" applyNumberFormat="1" applyFont="1" applyBorder="1" applyAlignment="1" applyProtection="1">
      <alignment horizontal="left" vertical="center" wrapText="1"/>
    </xf>
    <xf numFmtId="2" fontId="155" fillId="0" borderId="265" xfId="71" applyNumberFormat="1" applyFont="1" applyBorder="1" applyAlignment="1" applyProtection="1">
      <alignment horizontal="left" vertical="center"/>
    </xf>
    <xf numFmtId="2" fontId="159" fillId="0" borderId="0" xfId="71" applyNumberFormat="1" applyFont="1" applyBorder="1" applyAlignment="1" applyProtection="1">
      <alignment horizontal="center" vertical="center" wrapText="1"/>
    </xf>
    <xf numFmtId="1" fontId="159" fillId="0" borderId="0" xfId="71" applyNumberFormat="1" applyFont="1" applyAlignment="1" applyProtection="1">
      <alignment horizontal="center"/>
      <protection locked="0"/>
    </xf>
    <xf numFmtId="2" fontId="29" fillId="0" borderId="0" xfId="71" applyNumberFormat="1" applyFont="1" applyAlignment="1" applyProtection="1">
      <alignment horizontal="center"/>
    </xf>
    <xf numFmtId="0" fontId="216" fillId="0" borderId="0" xfId="71" applyFont="1" applyAlignment="1">
      <alignment horizontal="center"/>
    </xf>
    <xf numFmtId="0" fontId="159" fillId="0" borderId="0" xfId="71" applyFont="1" applyAlignment="1">
      <alignment horizontal="center"/>
    </xf>
    <xf numFmtId="0" fontId="217" fillId="0" borderId="0" xfId="71" applyFont="1" applyAlignment="1">
      <alignment horizontal="center"/>
    </xf>
    <xf numFmtId="2" fontId="155" fillId="0" borderId="100" xfId="71" applyNumberFormat="1" applyFont="1" applyBorder="1" applyAlignment="1" applyProtection="1">
      <alignment horizontal="left" vertical="center"/>
    </xf>
    <xf numFmtId="2" fontId="155" fillId="0" borderId="384" xfId="71" applyNumberFormat="1" applyFont="1" applyBorder="1" applyAlignment="1" applyProtection="1">
      <alignment horizontal="left" vertical="center"/>
    </xf>
    <xf numFmtId="0" fontId="31" fillId="28" borderId="0" xfId="0" applyFont="1" applyFill="1" applyBorder="1" applyAlignment="1" applyProtection="1">
      <alignment horizontal="center"/>
      <protection locked="0"/>
    </xf>
    <xf numFmtId="0" fontId="16" fillId="28" borderId="0" xfId="0" applyFont="1" applyFill="1" applyBorder="1" applyAlignment="1" applyProtection="1">
      <alignment horizontal="center"/>
      <protection locked="0"/>
    </xf>
    <xf numFmtId="0" fontId="41" fillId="28" borderId="0" xfId="0" applyFont="1" applyFill="1" applyBorder="1" applyAlignment="1" applyProtection="1">
      <alignment horizontal="center"/>
      <protection locked="0"/>
    </xf>
    <xf numFmtId="0" fontId="16" fillId="28" borderId="0" xfId="0" applyFont="1" applyFill="1" applyBorder="1" applyAlignment="1" applyProtection="1">
      <alignment horizontal="center"/>
    </xf>
    <xf numFmtId="0" fontId="31" fillId="28" borderId="0" xfId="0" applyFont="1" applyFill="1" applyBorder="1" applyAlignment="1" applyProtection="1">
      <alignment horizontal="center"/>
    </xf>
    <xf numFmtId="0" fontId="120" fillId="28" borderId="0" xfId="0" applyFont="1" applyFill="1" applyBorder="1" applyAlignment="1" applyProtection="1">
      <alignment horizontal="center" vertical="center" wrapText="1"/>
      <protection locked="0"/>
    </xf>
    <xf numFmtId="0" fontId="29" fillId="29" borderId="0" xfId="0" applyFont="1" applyFill="1" applyBorder="1" applyAlignment="1" applyProtection="1">
      <alignment horizontal="center"/>
      <protection locked="0"/>
    </xf>
    <xf numFmtId="0" fontId="41" fillId="28" borderId="0" xfId="0" applyFont="1" applyFill="1" applyBorder="1" applyAlignment="1" applyProtection="1">
      <alignment horizontal="center"/>
    </xf>
    <xf numFmtId="0" fontId="26" fillId="29" borderId="0" xfId="0" applyFont="1" applyFill="1" applyAlignment="1" applyProtection="1">
      <alignment horizontal="center"/>
      <protection locked="0"/>
    </xf>
    <xf numFmtId="3" fontId="15" fillId="0" borderId="0" xfId="47" applyNumberFormat="1" applyFont="1" applyFill="1" applyBorder="1" applyAlignment="1" applyProtection="1">
      <alignment horizontal="center" vertical="center" wrapText="1"/>
      <protection locked="0"/>
    </xf>
    <xf numFmtId="0" fontId="31" fillId="0" borderId="32"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31" fillId="0" borderId="30" xfId="49" applyFont="1" applyFill="1" applyBorder="1" applyAlignment="1" applyProtection="1">
      <alignment horizontal="center" vertical="center" wrapText="1"/>
      <protection locked="0"/>
    </xf>
    <xf numFmtId="0" fontId="31" fillId="0" borderId="9" xfId="49" applyFont="1" applyFill="1" applyBorder="1" applyAlignment="1" applyProtection="1">
      <alignment horizontal="center" vertical="center" wrapText="1"/>
      <protection locked="0"/>
    </xf>
    <xf numFmtId="0" fontId="31" fillId="0" borderId="22" xfId="49" applyFont="1" applyFill="1" applyBorder="1" applyAlignment="1" applyProtection="1">
      <alignment horizontal="center" vertical="center" wrapText="1"/>
      <protection locked="0"/>
    </xf>
    <xf numFmtId="3" fontId="31" fillId="0" borderId="32" xfId="47" applyNumberFormat="1" applyFont="1" applyFill="1" applyBorder="1" applyAlignment="1" applyProtection="1">
      <alignment horizontal="center" vertical="center" wrapText="1"/>
      <protection locked="0"/>
    </xf>
    <xf numFmtId="3" fontId="31" fillId="0" borderId="39" xfId="47" applyNumberFormat="1" applyFont="1" applyFill="1" applyBorder="1" applyAlignment="1" applyProtection="1">
      <alignment horizontal="center" vertical="center" wrapText="1"/>
      <protection locked="0"/>
    </xf>
    <xf numFmtId="3" fontId="17" fillId="0" borderId="0" xfId="40" applyNumberFormat="1" applyFont="1" applyBorder="1" applyAlignment="1">
      <alignment horizontal="left" vertical="center" wrapText="1"/>
    </xf>
    <xf numFmtId="3" fontId="31" fillId="0" borderId="0" xfId="40" applyNumberFormat="1" applyFont="1" applyFill="1" applyBorder="1" applyAlignment="1">
      <alignment horizontal="center"/>
    </xf>
    <xf numFmtId="0" fontId="16" fillId="0" borderId="0" xfId="0" applyFont="1" applyBorder="1" applyAlignment="1" applyProtection="1">
      <alignment horizontal="center"/>
    </xf>
    <xf numFmtId="3" fontId="26" fillId="0" borderId="0" xfId="40" applyNumberFormat="1" applyFont="1" applyBorder="1" applyAlignment="1">
      <alignment horizontal="center"/>
    </xf>
    <xf numFmtId="0" fontId="31" fillId="0" borderId="0" xfId="33" applyFont="1" applyFill="1" applyBorder="1" applyAlignment="1">
      <alignment horizontal="center"/>
    </xf>
    <xf numFmtId="0" fontId="31" fillId="0" borderId="0" xfId="33" applyFont="1" applyFill="1" applyBorder="1" applyAlignment="1">
      <alignment horizontal="left"/>
    </xf>
    <xf numFmtId="0" fontId="26" fillId="0" borderId="0" xfId="43" applyFont="1" applyFill="1" applyBorder="1" applyAlignment="1">
      <alignment horizontal="center"/>
    </xf>
    <xf numFmtId="1" fontId="26" fillId="0" borderId="0" xfId="43" applyNumberFormat="1" applyFont="1" applyFill="1" applyBorder="1" applyAlignment="1">
      <alignment horizontal="center"/>
    </xf>
    <xf numFmtId="0" fontId="31" fillId="0" borderId="0" xfId="33" applyFont="1" applyFill="1" applyBorder="1" applyAlignment="1">
      <alignment horizontal="center" vertical="center" wrapText="1"/>
    </xf>
    <xf numFmtId="3" fontId="79" fillId="0" borderId="0" xfId="40" applyNumberFormat="1" applyFont="1" applyBorder="1" applyAlignment="1">
      <alignment horizontal="left" wrapText="1"/>
    </xf>
    <xf numFmtId="0" fontId="31" fillId="0" borderId="0" xfId="25" applyFont="1" applyFill="1" applyBorder="1" applyAlignment="1">
      <alignment horizontal="center"/>
    </xf>
    <xf numFmtId="0" fontId="31" fillId="0" borderId="0" xfId="25" applyFont="1" applyFill="1" applyBorder="1" applyAlignment="1">
      <alignment horizontal="center" vertical="center" wrapText="1"/>
    </xf>
    <xf numFmtId="3" fontId="16" fillId="0" borderId="0" xfId="22" applyNumberFormat="1" applyFont="1" applyBorder="1" applyAlignment="1">
      <alignment horizontal="center"/>
    </xf>
    <xf numFmtId="0" fontId="26" fillId="0" borderId="0" xfId="22" applyFont="1" applyFill="1" applyBorder="1" applyAlignment="1">
      <alignment horizontal="center" wrapText="1"/>
    </xf>
    <xf numFmtId="3" fontId="31" fillId="0" borderId="0" xfId="22" applyNumberFormat="1" applyFont="1" applyBorder="1" applyAlignment="1">
      <alignment horizontal="center"/>
    </xf>
    <xf numFmtId="40" fontId="31" fillId="0" borderId="0" xfId="79" applyNumberFormat="1" applyFont="1" applyFill="1" applyBorder="1" applyAlignment="1">
      <alignment horizontal="center"/>
    </xf>
    <xf numFmtId="40" fontId="8" fillId="0" borderId="0" xfId="79" applyNumberFormat="1" applyFont="1" applyFill="1" applyBorder="1" applyAlignment="1">
      <alignment horizontal="center"/>
    </xf>
    <xf numFmtId="4" fontId="194" fillId="0" borderId="0" xfId="72" applyNumberFormat="1" applyFont="1" applyFill="1" applyBorder="1" applyAlignment="1">
      <alignment horizontal="center" vertical="center" wrapText="1"/>
    </xf>
  </cellXfs>
  <cellStyles count="97">
    <cellStyle name="Accent" xfId="1"/>
    <cellStyle name="Accent 1" xfId="2"/>
    <cellStyle name="Accent 2" xfId="3"/>
    <cellStyle name="Accent 3" xfId="4"/>
    <cellStyle name="Bad" xfId="5"/>
    <cellStyle name="Comma" xfId="68" builtinId="3"/>
    <cellStyle name="Comma 2" xfId="6"/>
    <cellStyle name="Comma 2 2" xfId="7"/>
    <cellStyle name="Comma 2 2 2" xfId="8"/>
    <cellStyle name="Comma 2 3" xfId="9"/>
    <cellStyle name="Comma 3" xfId="10"/>
    <cellStyle name="Comma 3 2" xfId="11"/>
    <cellStyle name="Comma 4" xfId="70"/>
    <cellStyle name="Comma 5" xfId="80"/>
    <cellStyle name="Comma0" xfId="12"/>
    <cellStyle name="Comma0 2" xfId="13"/>
    <cellStyle name="Comma0 2 2" xfId="81"/>
    <cellStyle name="Comma0_INFLUENTE CA" xfId="14"/>
    <cellStyle name="Currency" xfId="20" builtinId="4"/>
    <cellStyle name="Error" xfId="15"/>
    <cellStyle name="Footnote" xfId="16"/>
    <cellStyle name="Heading" xfId="17"/>
    <cellStyle name="Heading 1" xfId="18"/>
    <cellStyle name="Heading 2" xfId="19"/>
    <cellStyle name="Neutral" xfId="21"/>
    <cellStyle name="Normal" xfId="0" builtinId="0"/>
    <cellStyle name="Normal 10 5" xfId="82"/>
    <cellStyle name="Normal 11" xfId="83"/>
    <cellStyle name="Normal 19 4" xfId="84"/>
    <cellStyle name="Normal 2" xfId="22"/>
    <cellStyle name="Normal 2 2" xfId="23"/>
    <cellStyle name="Normal 3" xfId="24"/>
    <cellStyle name="Normal 3 2" xfId="25"/>
    <cellStyle name="Normal 3 2 2" xfId="85"/>
    <cellStyle name="Normal 3 4" xfId="26"/>
    <cellStyle name="Normal 3_INFLUENTE CA" xfId="27"/>
    <cellStyle name="Normal 4" xfId="28"/>
    <cellStyle name="Normal 4 2" xfId="29"/>
    <cellStyle name="Normal 4 2 2" xfId="86"/>
    <cellStyle name="Normal 4 3" xfId="87"/>
    <cellStyle name="Normal 4 4" xfId="88"/>
    <cellStyle name="Normal 4 4 2" xfId="89"/>
    <cellStyle name="Normal 4 5" xfId="90"/>
    <cellStyle name="Normal 4_INFLUENTE CA" xfId="30"/>
    <cellStyle name="Normal 5" xfId="31"/>
    <cellStyle name="Normal 6" xfId="32"/>
    <cellStyle name="Normal 7" xfId="33"/>
    <cellStyle name="Normal 8" xfId="71"/>
    <cellStyle name="Normal 9" xfId="72"/>
    <cellStyle name="Normal_! executie la subventii an 2007 final" xfId="34"/>
    <cellStyle name="Normal_35 b" xfId="35"/>
    <cellStyle name="Normal_35a" xfId="36"/>
    <cellStyle name="Normal_Anexa 19" xfId="37"/>
    <cellStyle name="Normal_ANEXA 2" xfId="38"/>
    <cellStyle name="Normal_anexa 25" xfId="39"/>
    <cellStyle name="Normal_anexe b03 PE CASE varianta" xfId="40"/>
    <cellStyle name="Normal_ANEXE-fonduri-completate" xfId="41"/>
    <cellStyle name="Normal_buget 2004 cf lg 507 2003 CU DEBL10% MAI cu virari" xfId="74"/>
    <cellStyle name="Normal_BUGET RECTIFICARE OUG 89 VIRARI FINALE" xfId="42"/>
    <cellStyle name="Normal_BUGET RECTIFICARE OUG 89 VIRARI FINALE 2" xfId="43"/>
    <cellStyle name="Normal_BUGET RECTIFICARE OUG 89 VIRARI FINALE 3" xfId="44"/>
    <cellStyle name="Normal_BUGET RECTIFICARE OUG 89 VIRARI FINALE_12.Cont executie CHELTUIELI DECEMBRIE 2014" xfId="73"/>
    <cellStyle name="Normal_CAPAC PNS 2014" xfId="76"/>
    <cellStyle name="Normal_F 102 SINTEZA FEN postaderare 1" xfId="45"/>
    <cellStyle name="Normal_F 102 SINTEZA FEN postaderare 1 2" xfId="77"/>
    <cellStyle name="Normal_fila" xfId="46"/>
    <cellStyle name="Normal_Foaie2" xfId="47"/>
    <cellStyle name="Normal_LG 216 CALCULE BVC 2001" xfId="48"/>
    <cellStyle name="Normal_LG 216 CALCULE BVC 2001 2" xfId="75"/>
    <cellStyle name="Normal_macheta iunie 2009" xfId="49"/>
    <cellStyle name="Normal_ordonanta 158 NAN MF" xfId="50"/>
    <cellStyle name="Normal_ordonanta 158 NAN MF 2" xfId="79"/>
    <cellStyle name="Normal_Registru1" xfId="51"/>
    <cellStyle name="Normal_Sheet1" xfId="52"/>
    <cellStyle name="Normal_Sheet1 2" xfId="53"/>
    <cellStyle name="Normal_Sheet1 3" xfId="54"/>
    <cellStyle name="Normal_VARIANTA 6 MACHETA propuneri buget 2009" xfId="55"/>
    <cellStyle name="Normal_VARIANTA 6 MACHETA propuneri buget 2009 2" xfId="78"/>
    <cellStyle name="Normal_vaslui, bilant 30.06.2007" xfId="56"/>
    <cellStyle name="Note 2" xfId="57"/>
    <cellStyle name="Note 2 2" xfId="58"/>
    <cellStyle name="Note 3" xfId="91"/>
    <cellStyle name="Percent 2" xfId="59"/>
    <cellStyle name="Percent 2 2" xfId="60"/>
    <cellStyle name="Percent 3" xfId="61"/>
    <cellStyle name="Percent 3 2" xfId="62"/>
    <cellStyle name="Status" xfId="63"/>
    <cellStyle name="Style 1" xfId="64"/>
    <cellStyle name="Style 1 2" xfId="65"/>
    <cellStyle name="Style 1 2 2" xfId="92"/>
    <cellStyle name="Style 1 3" xfId="93"/>
    <cellStyle name="Style 1 4" xfId="94"/>
    <cellStyle name="Style 1 4 2" xfId="95"/>
    <cellStyle name="Style 1 5" xfId="96"/>
    <cellStyle name="Style 1_INFLUENTE CA" xfId="66"/>
    <cellStyle name="Text" xfId="67"/>
    <cellStyle name="Warning" xfId="6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FF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99FF"/>
      <color rgb="FFF2F2F2"/>
      <color rgb="FFFF0000"/>
      <color rgb="FFDDD9C4"/>
      <color rgb="FF009900"/>
      <color rgb="FF60497A"/>
      <color rgb="FFF2DCDB"/>
      <color rgb="FFFFCC99"/>
      <color rgb="FFFF33CC"/>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1"/>
  <dimension ref="A1:M1969"/>
  <sheetViews>
    <sheetView showZeros="0" topLeftCell="A76" zoomScaleNormal="100" workbookViewId="0">
      <selection activeCell="H15" sqref="H15"/>
    </sheetView>
  </sheetViews>
  <sheetFormatPr defaultColWidth="9.140625" defaultRowHeight="18"/>
  <cols>
    <col min="1" max="1" width="5" style="1133" customWidth="1"/>
    <col min="2" max="2" width="56" style="1" customWidth="1"/>
    <col min="3" max="3" width="6.140625" style="2" customWidth="1"/>
    <col min="4" max="4" width="21.42578125" style="1" customWidth="1"/>
    <col min="5" max="5" width="22.5703125" style="3" customWidth="1"/>
    <col min="6" max="6" width="12.7109375" style="4" customWidth="1"/>
    <col min="7" max="7" width="24.7109375" style="4" customWidth="1"/>
    <col min="8" max="8" width="13.42578125" style="5" customWidth="1"/>
    <col min="9" max="11" width="18.7109375" style="1" customWidth="1"/>
    <col min="12" max="12" width="12.7109375" style="6" customWidth="1"/>
    <col min="13" max="13" width="11.7109375" style="1" customWidth="1"/>
    <col min="14" max="16384" width="9.140625" style="1"/>
  </cols>
  <sheetData>
    <row r="1" spans="1:13">
      <c r="A1" s="3980" t="s">
        <v>2646</v>
      </c>
      <c r="B1" s="3980"/>
      <c r="C1" s="3980"/>
      <c r="D1" s="3980"/>
      <c r="E1" s="3980"/>
    </row>
    <row r="2" spans="1:13" ht="6" customHeight="1">
      <c r="A2" s="1131"/>
      <c r="B2" s="7"/>
      <c r="C2" s="8"/>
      <c r="D2" s="7"/>
      <c r="E2" s="7"/>
    </row>
    <row r="3" spans="1:13">
      <c r="A3" s="3981" t="s">
        <v>2647</v>
      </c>
      <c r="B3" s="3982"/>
      <c r="C3" s="3982"/>
      <c r="D3" s="3982"/>
      <c r="E3" s="9"/>
    </row>
    <row r="4" spans="1:13" ht="9" customHeight="1">
      <c r="A4" s="1131"/>
      <c r="B4" s="10"/>
      <c r="C4" s="10"/>
      <c r="D4" s="10"/>
      <c r="E4" s="7"/>
    </row>
    <row r="5" spans="1:13">
      <c r="A5" s="3981" t="s">
        <v>2648</v>
      </c>
      <c r="B5" s="3982"/>
      <c r="C5" s="11"/>
      <c r="D5" s="12"/>
      <c r="E5" s="9"/>
    </row>
    <row r="6" spans="1:13" ht="6.75" customHeight="1">
      <c r="A6" s="3983"/>
      <c r="B6" s="3983"/>
      <c r="C6" s="3983"/>
      <c r="D6" s="7"/>
      <c r="E6" s="7"/>
    </row>
    <row r="7" spans="1:13" ht="14.25" customHeight="1">
      <c r="A7" s="3981" t="s">
        <v>2649</v>
      </c>
      <c r="B7" s="3982"/>
      <c r="C7" s="3982"/>
      <c r="D7" s="3982"/>
      <c r="E7" s="9"/>
    </row>
    <row r="8" spans="1:13">
      <c r="A8" s="1131"/>
      <c r="B8" s="10"/>
      <c r="C8" s="10"/>
      <c r="D8" s="10"/>
      <c r="E8" s="7"/>
      <c r="J8" s="13"/>
    </row>
    <row r="9" spans="1:13">
      <c r="A9" s="3981" t="s">
        <v>1822</v>
      </c>
      <c r="B9" s="3982"/>
      <c r="C9" s="3982"/>
      <c r="D9" s="9"/>
      <c r="E9" s="9"/>
    </row>
    <row r="10" spans="1:13">
      <c r="A10" s="1131"/>
      <c r="B10" s="10"/>
      <c r="C10" s="10"/>
      <c r="D10" s="7"/>
    </row>
    <row r="11" spans="1:13" ht="15.75" customHeight="1">
      <c r="A11" s="3978" t="s">
        <v>84</v>
      </c>
      <c r="B11" s="3978"/>
      <c r="C11" s="3978"/>
      <c r="D11" s="3978"/>
      <c r="E11" s="3978"/>
    </row>
    <row r="12" spans="1:13" ht="15.75" customHeight="1">
      <c r="A12" s="3978" t="s">
        <v>2617</v>
      </c>
      <c r="B12" s="3978"/>
      <c r="C12" s="3978"/>
      <c r="D12" s="3978"/>
      <c r="E12" s="3978"/>
    </row>
    <row r="13" spans="1:13">
      <c r="A13" s="1132" t="s">
        <v>85</v>
      </c>
      <c r="B13" s="14"/>
      <c r="C13" s="15"/>
      <c r="D13" s="14"/>
      <c r="E13" s="16" t="s">
        <v>86</v>
      </c>
      <c r="M13" s="17"/>
    </row>
    <row r="14" spans="1:13" ht="17.25" customHeight="1">
      <c r="A14" s="3985" t="s">
        <v>87</v>
      </c>
      <c r="B14" s="3986" t="s">
        <v>88</v>
      </c>
      <c r="C14" s="3987" t="s">
        <v>89</v>
      </c>
      <c r="D14" s="3988" t="s">
        <v>90</v>
      </c>
      <c r="E14" s="3979" t="s">
        <v>91</v>
      </c>
    </row>
    <row r="15" spans="1:13" ht="31.5" customHeight="1">
      <c r="A15" s="3985"/>
      <c r="B15" s="3986"/>
      <c r="C15" s="3987"/>
      <c r="D15" s="3988"/>
      <c r="E15" s="3979"/>
    </row>
    <row r="16" spans="1:13" s="20" customFormat="1" ht="9.75" customHeight="1">
      <c r="A16" s="1321" t="s">
        <v>92</v>
      </c>
      <c r="B16" s="1322" t="s">
        <v>93</v>
      </c>
      <c r="C16" s="1323" t="s">
        <v>94</v>
      </c>
      <c r="D16" s="1324">
        <v>1</v>
      </c>
      <c r="E16" s="1325">
        <v>2</v>
      </c>
      <c r="F16" s="18"/>
      <c r="G16" s="18"/>
      <c r="H16" s="19"/>
      <c r="L16" s="21"/>
    </row>
    <row r="17" spans="1:13">
      <c r="A17" s="3465">
        <v>1</v>
      </c>
      <c r="B17" s="3466" t="s">
        <v>95</v>
      </c>
      <c r="C17" s="3467" t="s">
        <v>96</v>
      </c>
      <c r="D17" s="3468"/>
      <c r="E17" s="3469"/>
    </row>
    <row r="18" spans="1:13" ht="13.5" customHeight="1">
      <c r="A18" s="3470">
        <v>2</v>
      </c>
      <c r="B18" s="3471" t="s">
        <v>97</v>
      </c>
      <c r="C18" s="3472" t="s">
        <v>98</v>
      </c>
      <c r="D18" s="3473"/>
      <c r="E18" s="3474"/>
    </row>
    <row r="19" spans="1:13" ht="63">
      <c r="A19" s="3470">
        <v>3</v>
      </c>
      <c r="B19" s="3475" t="s">
        <v>2100</v>
      </c>
      <c r="C19" s="3472" t="s">
        <v>100</v>
      </c>
      <c r="D19" s="3956">
        <v>10917</v>
      </c>
      <c r="E19" s="3477">
        <f>+'SOLDURI BILANT'!E27+'SOLDURI BILANT'!E28+'SOLDURI BILANT'!E29+'SOLDURI BILANT'!E40-'SOLDURI BILANT'!F48-'SOLDURI BILANT'!F57-'SOLDURI BILANT'!F58-'SOLDURI BILANT'!F59-'SOLDURI BILANT'!F65-'SOLDURI BILANT'!F49-'SOLDURI BILANT'!F50-'SOLDURI BILANT'!F60</f>
        <v>9517</v>
      </c>
      <c r="I19" s="23"/>
      <c r="J19" s="23"/>
      <c r="K19" s="23"/>
      <c r="M19" s="6"/>
    </row>
    <row r="20" spans="1:13" ht="110.25">
      <c r="A20" s="3470">
        <v>4</v>
      </c>
      <c r="B20" s="3475" t="s">
        <v>2112</v>
      </c>
      <c r="C20" s="3472" t="s">
        <v>102</v>
      </c>
      <c r="D20" s="3956">
        <v>38474</v>
      </c>
      <c r="E20" s="3477">
        <f>+'SOLDURI BILANT'!E33+'SOLDURI BILANT'!E34+'SOLDURI BILANT'!E35+'SOLDURI BILANT'!E36-'SOLDURI BILANT'!F56-'SOLDURI BILANT'!F63-'SOLDURI BILANT'!F64-'SOLDURI BILANT'!F66-'SOLDURI BILANT'!F53-'SOLDURI BILANT'!F55-'SOLDURI BILANT'!F54</f>
        <v>33703</v>
      </c>
      <c r="G20" s="24"/>
      <c r="I20" s="23"/>
      <c r="J20" s="23"/>
      <c r="K20" s="23"/>
      <c r="M20" s="6"/>
    </row>
    <row r="21" spans="1:13" ht="100.5">
      <c r="A21" s="3470">
        <v>5</v>
      </c>
      <c r="B21" s="3478" t="s">
        <v>2388</v>
      </c>
      <c r="C21" s="3472" t="s">
        <v>104</v>
      </c>
      <c r="D21" s="3956">
        <v>2075662</v>
      </c>
      <c r="E21" s="3477">
        <f>+'SOLDURI BILANT'!E30+'SOLDURI BILANT'!E31+'SOLDURI BILANT'!E32+'SOLDURI BILANT'!E38-'SOLDURI BILANT'!F51-'SOLDURI BILANT'!F61-'SOLDURI BILANT'!F62-'SOLDURI BILANT'!F66-'SOLDURI BILANT'!F52</f>
        <v>2055951</v>
      </c>
      <c r="G21" s="24"/>
      <c r="I21" s="23"/>
      <c r="J21" s="23"/>
      <c r="K21" s="23"/>
      <c r="M21" s="6"/>
    </row>
    <row r="22" spans="1:13" ht="29.25">
      <c r="A22" s="3470">
        <v>6</v>
      </c>
      <c r="B22" s="3478" t="s">
        <v>106</v>
      </c>
      <c r="C22" s="3472" t="s">
        <v>107</v>
      </c>
      <c r="D22" s="3956"/>
      <c r="E22" s="3477">
        <f>+'SOLDURI BILANT'!E37</f>
        <v>0</v>
      </c>
      <c r="I22" s="23"/>
      <c r="J22" s="23"/>
      <c r="K22" s="23"/>
      <c r="M22" s="6"/>
    </row>
    <row r="23" spans="1:13" ht="72.75">
      <c r="A23" s="3470">
        <v>7</v>
      </c>
      <c r="B23" s="3478" t="s">
        <v>109</v>
      </c>
      <c r="C23" s="3472" t="s">
        <v>110</v>
      </c>
      <c r="D23" s="3956"/>
      <c r="E23" s="3477">
        <f>+'SOLDURI BILANT'!E44+'SOLDURI BILANT'!E45</f>
        <v>0</v>
      </c>
      <c r="I23" s="23"/>
      <c r="J23" s="23"/>
      <c r="K23" s="23"/>
      <c r="M23" s="6"/>
    </row>
    <row r="24" spans="1:13" ht="43.5">
      <c r="A24" s="3470">
        <v>8</v>
      </c>
      <c r="B24" s="3479" t="s">
        <v>111</v>
      </c>
      <c r="C24" s="3472" t="s">
        <v>112</v>
      </c>
      <c r="D24" s="3956"/>
      <c r="E24" s="3477"/>
      <c r="F24" s="25" t="str">
        <f>IF(D23&lt;D24,"eroare"," ")</f>
        <v xml:space="preserve"> </v>
      </c>
      <c r="G24" s="25" t="str">
        <f>IF(E23&lt;E24,"eroare"," ")</f>
        <v xml:space="preserve"> </v>
      </c>
      <c r="I24" s="23"/>
      <c r="J24" s="23"/>
      <c r="K24" s="23"/>
      <c r="M24" s="6"/>
    </row>
    <row r="25" spans="1:13" ht="58.5">
      <c r="A25" s="3470">
        <v>9</v>
      </c>
      <c r="B25" s="3478" t="s">
        <v>113</v>
      </c>
      <c r="C25" s="3472" t="s">
        <v>114</v>
      </c>
      <c r="D25" s="3956">
        <v>517254</v>
      </c>
      <c r="E25" s="3477">
        <f>+'SOLDURI BILANT'!E83+'SOLDURI BILANT'!E113+'SOLDURI BILANT'!E93-'SOLDURI BILANT'!F129</f>
        <v>444095</v>
      </c>
      <c r="I25" s="23"/>
      <c r="J25" s="23"/>
      <c r="K25" s="23"/>
      <c r="M25" s="6"/>
    </row>
    <row r="26" spans="1:13" ht="57">
      <c r="A26" s="3470">
        <v>10</v>
      </c>
      <c r="B26" s="3480" t="s">
        <v>115</v>
      </c>
      <c r="C26" s="3472">
        <v>10</v>
      </c>
      <c r="D26" s="3957">
        <v>517254</v>
      </c>
      <c r="E26" s="3477">
        <f>+'SOLDURI BILANT'!E83+'SOLDURI BILANT'!E113-'SOLDURI BILANT'!F129</f>
        <v>444095</v>
      </c>
      <c r="F26" s="25"/>
      <c r="G26" s="25" t="str">
        <f>IF(E25&lt;E26,"eroare"," ")</f>
        <v xml:space="preserve"> </v>
      </c>
      <c r="I26" s="23"/>
      <c r="J26" s="23"/>
      <c r="K26" s="23"/>
      <c r="M26" s="6"/>
    </row>
    <row r="27" spans="1:13" ht="31.5">
      <c r="A27" s="3470">
        <v>11</v>
      </c>
      <c r="B27" s="3475" t="s">
        <v>116</v>
      </c>
      <c r="C27" s="3472">
        <v>15</v>
      </c>
      <c r="D27" s="3481">
        <f>D19+D20+D21+D22+D23+D25</f>
        <v>2642307</v>
      </c>
      <c r="E27" s="3482">
        <f>E19+E20+E21+E22+E23+E25</f>
        <v>2543266</v>
      </c>
      <c r="I27" s="23"/>
      <c r="J27" s="23"/>
      <c r="K27" s="23"/>
      <c r="M27" s="6"/>
    </row>
    <row r="28" spans="1:13">
      <c r="A28" s="3470">
        <v>12</v>
      </c>
      <c r="B28" s="3475" t="s">
        <v>117</v>
      </c>
      <c r="C28" s="3472">
        <v>18</v>
      </c>
      <c r="D28" s="3473"/>
      <c r="E28" s="3474"/>
      <c r="I28" s="23"/>
      <c r="J28" s="23"/>
      <c r="K28" s="23"/>
      <c r="M28" s="6"/>
    </row>
    <row r="29" spans="1:13" ht="186">
      <c r="A29" s="3498">
        <v>13</v>
      </c>
      <c r="B29" s="3508" t="s">
        <v>2113</v>
      </c>
      <c r="C29" s="3500">
        <v>19</v>
      </c>
      <c r="D29" s="3956">
        <v>392263</v>
      </c>
      <c r="E29" s="3509">
        <f>+'SOLDURI BILANT'!E68+'SOLDURI BILANT'!E69+'SOLDURI BILANT'!E70+'SOLDURI BILANT'!E71+'SOLDURI BILANT'!E72+'SOLDURI BILANT'!E73+'SOLDURI BILANT'!E74+'SOLDURI BILANT'!E75</f>
        <v>395243</v>
      </c>
      <c r="I29" s="23"/>
      <c r="J29" s="23"/>
      <c r="K29" s="23"/>
      <c r="M29" s="6"/>
    </row>
    <row r="30" spans="1:13" ht="31.5">
      <c r="A30" s="3503">
        <v>14</v>
      </c>
      <c r="B30" s="3504" t="s">
        <v>118</v>
      </c>
      <c r="C30" s="3505">
        <v>20</v>
      </c>
      <c r="D30" s="3506"/>
      <c r="E30" s="3507"/>
      <c r="I30" s="23"/>
      <c r="J30" s="23"/>
      <c r="K30" s="23"/>
      <c r="M30" s="6"/>
    </row>
    <row r="31" spans="1:13" ht="115.5">
      <c r="A31" s="3470">
        <v>15</v>
      </c>
      <c r="B31" s="3478" t="s">
        <v>1876</v>
      </c>
      <c r="C31" s="3472">
        <v>21</v>
      </c>
      <c r="D31" s="3956">
        <v>648365</v>
      </c>
      <c r="E31" s="3477">
        <f>+'SOLDURI BILANT'!E39+'SOLDURI BILANT'!E41+'SOLDURI BILANT'!E80+'SOLDURI BILANT'!E81+'SOLDURI BILANT'!E82+'SOLDURI BILANT'!E87+'SOLDURI BILANT'!E111+'SOLDURI BILANT'!E125+'SOLDURI BILANT'!E91-'SOLDURI BILANT'!F91+'SOLDURI BILANT'!E126-'SOLDURI BILANT'!F128+'SOLDURI BILANT'!E112+'SOLDURI BILANT'!E114</f>
        <v>1087893</v>
      </c>
      <c r="F31" s="26"/>
      <c r="G31" s="27"/>
      <c r="I31" s="23"/>
      <c r="J31" s="23"/>
      <c r="K31" s="23"/>
      <c r="M31" s="6"/>
    </row>
    <row r="32" spans="1:13" ht="30">
      <c r="A32" s="3470">
        <v>16</v>
      </c>
      <c r="B32" s="3478" t="s">
        <v>119</v>
      </c>
      <c r="C32" s="3483" t="s">
        <v>120</v>
      </c>
      <c r="D32" s="3484"/>
      <c r="E32" s="3477"/>
      <c r="F32" s="26"/>
      <c r="G32" s="27"/>
      <c r="I32" s="23"/>
      <c r="J32" s="23"/>
      <c r="K32" s="23"/>
      <c r="M32" s="6"/>
    </row>
    <row r="33" spans="1:13" ht="57.75">
      <c r="A33" s="3470">
        <v>17</v>
      </c>
      <c r="B33" s="3478" t="s">
        <v>121</v>
      </c>
      <c r="C33" s="3485">
        <v>22</v>
      </c>
      <c r="D33" s="3956">
        <v>610716</v>
      </c>
      <c r="E33" s="3477">
        <f>+'SOLDURI BILANT'!E39+'SOLDURI BILANT'!E41+'SOLDURI BILANT'!E80+'SOLDURI BILANT'!E81+'SOLDURI BILANT'!E82+'SOLDURI BILANT'!E111-'SOLDURI BILANT'!F128</f>
        <v>679731</v>
      </c>
      <c r="F33" s="25"/>
      <c r="G33" s="25"/>
      <c r="I33" s="23"/>
      <c r="J33" s="23"/>
      <c r="K33" s="23"/>
      <c r="M33" s="6"/>
    </row>
    <row r="34" spans="1:13" ht="31.5">
      <c r="A34" s="3470">
        <v>18</v>
      </c>
      <c r="B34" s="3486" t="s">
        <v>1877</v>
      </c>
      <c r="C34" s="3487" t="s">
        <v>122</v>
      </c>
      <c r="D34" s="3476"/>
      <c r="E34" s="3477">
        <f>+'SOLDURI BILANT'!E39+'SOLDURI BILANT'!E41+'SOLDURI BILANT'!E80+'SOLDURI BILANT'!E81</f>
        <v>0</v>
      </c>
      <c r="F34" s="25"/>
      <c r="G34" s="25"/>
      <c r="I34" s="23"/>
      <c r="J34" s="23"/>
      <c r="K34" s="23"/>
      <c r="M34" s="6"/>
    </row>
    <row r="35" spans="1:13" ht="143.25">
      <c r="A35" s="3470">
        <v>19</v>
      </c>
      <c r="B35" s="3478" t="s">
        <v>1878</v>
      </c>
      <c r="C35" s="3472">
        <v>23</v>
      </c>
      <c r="D35" s="3956">
        <v>54536444</v>
      </c>
      <c r="E35" s="3477">
        <f>+'SOLDURI BILANT'!E94+'SOLDURI BILANT'!E95+'SOLDURI BILANT'!E96+'SOLDURI BILANT'!E97+'SOLDURI BILANT'!E98+'SOLDURI BILANT'!E100+'SOLDURI BILANT'!E101+'SOLDURI BILANT'!E102+'SOLDURI BILANT'!E104+'SOLDURI BILANT'!F106+'SOLDURI BILANT'!E119+'SOLDURI BILANT'!E127-'SOLDURI BILANT'!F130+'SOLDURI BILANT'!E103+'SOLDURI BILANT'!E99</f>
        <v>57003952</v>
      </c>
      <c r="I35" s="23"/>
      <c r="J35" s="23"/>
      <c r="K35" s="23"/>
      <c r="M35" s="6"/>
    </row>
    <row r="36" spans="1:13" ht="43.5">
      <c r="A36" s="3470">
        <v>20</v>
      </c>
      <c r="B36" s="3479" t="s">
        <v>1879</v>
      </c>
      <c r="C36" s="3485">
        <v>24</v>
      </c>
      <c r="D36" s="3957">
        <v>54536444</v>
      </c>
      <c r="E36" s="3477">
        <f>+'SOLDURI BILANT'!E119-'SOLDURI BILANT'!F130</f>
        <v>57003952</v>
      </c>
      <c r="F36" s="25"/>
      <c r="G36" s="25"/>
      <c r="I36" s="23"/>
      <c r="J36" s="23"/>
      <c r="K36" s="23"/>
      <c r="M36" s="6"/>
    </row>
    <row r="37" spans="1:13" ht="158.25">
      <c r="A37" s="3470">
        <v>21</v>
      </c>
      <c r="B37" s="3478" t="s">
        <v>1880</v>
      </c>
      <c r="C37" s="3472">
        <v>25</v>
      </c>
      <c r="D37" s="3476"/>
      <c r="E37" s="3477">
        <f>+'SOLDURI BILANT'!E107+'SOLDURI BILANT'!E109+'SOLDURI BILANT'!E124</f>
        <v>0</v>
      </c>
      <c r="I37" s="23"/>
      <c r="J37" s="23"/>
      <c r="K37" s="23"/>
      <c r="M37" s="6"/>
    </row>
    <row r="38" spans="1:13" ht="44.25">
      <c r="A38" s="3470">
        <v>22</v>
      </c>
      <c r="B38" s="3479" t="s">
        <v>123</v>
      </c>
      <c r="C38" s="3472">
        <v>26</v>
      </c>
      <c r="D38" s="3476"/>
      <c r="E38" s="3477">
        <f>+'SOLDURI BILANT'!E107</f>
        <v>0</v>
      </c>
      <c r="F38" s="25"/>
      <c r="G38" s="25"/>
      <c r="I38" s="23"/>
      <c r="J38" s="23"/>
      <c r="K38" s="23"/>
      <c r="M38" s="6"/>
    </row>
    <row r="39" spans="1:13" ht="100.5">
      <c r="A39" s="3470">
        <v>23</v>
      </c>
      <c r="B39" s="3478" t="s">
        <v>124</v>
      </c>
      <c r="C39" s="3472">
        <v>27</v>
      </c>
      <c r="D39" s="3476"/>
      <c r="E39" s="3477">
        <f>'SOLDURI BILANT'!E121</f>
        <v>0</v>
      </c>
      <c r="I39" s="23"/>
      <c r="J39" s="23"/>
      <c r="K39" s="23"/>
      <c r="M39" s="6"/>
    </row>
    <row r="40" spans="1:13">
      <c r="A40" s="3470">
        <v>24</v>
      </c>
      <c r="B40" s="3475" t="s">
        <v>125</v>
      </c>
      <c r="C40" s="3472">
        <v>30</v>
      </c>
      <c r="D40" s="3481">
        <f>D31+D35+D37+D39</f>
        <v>55184809</v>
      </c>
      <c r="E40" s="3482">
        <f>E31+E35+E37+E39</f>
        <v>58091845</v>
      </c>
      <c r="I40" s="23"/>
      <c r="J40" s="23"/>
      <c r="K40" s="23"/>
      <c r="M40" s="6"/>
    </row>
    <row r="41" spans="1:13">
      <c r="A41" s="3470">
        <v>25</v>
      </c>
      <c r="B41" s="3478" t="s">
        <v>126</v>
      </c>
      <c r="C41" s="3472">
        <v>31</v>
      </c>
      <c r="D41" s="3476"/>
      <c r="E41" s="3477"/>
      <c r="I41" s="23"/>
      <c r="J41" s="23"/>
      <c r="K41" s="23"/>
      <c r="M41" s="6"/>
    </row>
    <row r="42" spans="1:13">
      <c r="A42" s="3470">
        <v>26</v>
      </c>
      <c r="B42" s="3475" t="s">
        <v>127</v>
      </c>
      <c r="C42" s="3472">
        <v>32</v>
      </c>
      <c r="D42" s="3473"/>
      <c r="E42" s="3474"/>
      <c r="I42" s="23"/>
      <c r="J42" s="23"/>
      <c r="K42" s="23"/>
      <c r="M42" s="6"/>
    </row>
    <row r="43" spans="1:13" ht="214.5">
      <c r="A43" s="3498">
        <v>27</v>
      </c>
      <c r="B43" s="3513" t="s">
        <v>1881</v>
      </c>
      <c r="C43" s="3500">
        <v>33</v>
      </c>
      <c r="D43" s="3956">
        <v>18581</v>
      </c>
      <c r="E43" s="3509">
        <f>+'SOLDURI BILANT'!E132+'SOLDURI BILANT'!E143+'SOLDURI BILANT'!E144+'SOLDURI BILANT'!E145+'SOLDURI BILANT'!E153+'SOLDURI BILANT'!E155+'SOLDURI BILANT'!E156+'SOLDURI BILANT'!E157+'SOLDURI BILANT'!E158-'SOLDURI BILANT'!F160+'SOLDURI BILANT'!E138+'SOLDURI BILANT'!E140+'SOLDURI BILANT'!E135</f>
        <v>-111541854</v>
      </c>
      <c r="I43" s="23"/>
      <c r="J43" s="23"/>
      <c r="K43" s="23"/>
      <c r="M43" s="6"/>
    </row>
    <row r="44" spans="1:13" ht="50.25" customHeight="1">
      <c r="A44" s="3503">
        <v>28</v>
      </c>
      <c r="B44" s="3510" t="s">
        <v>128</v>
      </c>
      <c r="C44" s="3505" t="s">
        <v>129</v>
      </c>
      <c r="D44" s="3956">
        <v>10275</v>
      </c>
      <c r="E44" s="3512">
        <f>+'SOLDURI BILANT'!E147+'SOLDURI BILANT'!E148+'SOLDURI BILANT'!E149+'SOLDURI BILANT'!E150+'SOLDURI BILANT'!E151+'SOLDURI BILANT'!E152</f>
        <v>4325</v>
      </c>
      <c r="I44" s="23"/>
      <c r="J44" s="23"/>
      <c r="K44" s="23"/>
      <c r="M44" s="6"/>
    </row>
    <row r="45" spans="1:13">
      <c r="A45" s="3470">
        <v>29</v>
      </c>
      <c r="B45" s="3475" t="s">
        <v>130</v>
      </c>
      <c r="C45" s="3472">
        <v>34</v>
      </c>
      <c r="D45" s="3484"/>
      <c r="E45" s="3477"/>
      <c r="F45" s="25"/>
      <c r="G45" s="25"/>
      <c r="I45" s="23"/>
      <c r="J45" s="23"/>
      <c r="K45" s="23"/>
      <c r="M45" s="6"/>
    </row>
    <row r="46" spans="1:13" ht="143.25">
      <c r="A46" s="3470">
        <v>30</v>
      </c>
      <c r="B46" s="3478" t="s">
        <v>131</v>
      </c>
      <c r="C46" s="3472">
        <v>35</v>
      </c>
      <c r="D46" s="3958">
        <v>10531</v>
      </c>
      <c r="E46" s="3477">
        <f>+'SOLDURI BILANT'!E133+'SOLDURI BILANT'!E146+'SOLDURI BILANT'!E154+'SOLDURI BILANT'!E134+'SOLDURI BILANT'!E137+'SOLDURI BILANT'!E139+'SOLDURI BILANT'!E136</f>
        <v>12381</v>
      </c>
      <c r="I46" s="23"/>
      <c r="J46" s="23"/>
      <c r="K46" s="23"/>
      <c r="M46" s="6"/>
    </row>
    <row r="47" spans="1:13" ht="29.25">
      <c r="A47" s="3470">
        <v>31</v>
      </c>
      <c r="B47" s="3479" t="s">
        <v>132</v>
      </c>
      <c r="C47" s="3472" t="s">
        <v>133</v>
      </c>
      <c r="D47" s="3476"/>
      <c r="E47" s="3477">
        <f>+'SOLDURI BILANT'!E141</f>
        <v>0</v>
      </c>
      <c r="I47" s="23"/>
      <c r="J47" s="23"/>
      <c r="K47" s="23"/>
      <c r="M47" s="6"/>
    </row>
    <row r="48" spans="1:13" ht="17.25" customHeight="1">
      <c r="A48" s="3470">
        <v>32</v>
      </c>
      <c r="B48" s="3475" t="s">
        <v>134</v>
      </c>
      <c r="C48" s="3472">
        <v>36</v>
      </c>
      <c r="D48" s="3484"/>
      <c r="E48" s="3477"/>
      <c r="F48" s="25" t="str">
        <f>IF(D46&lt;D48,"eroare"," ")</f>
        <v xml:space="preserve"> </v>
      </c>
      <c r="G48" s="25"/>
      <c r="I48" s="23"/>
      <c r="J48" s="23"/>
      <c r="K48" s="23"/>
      <c r="M48" s="6"/>
    </row>
    <row r="49" spans="1:13" ht="17.25" customHeight="1">
      <c r="A49" s="3470">
        <v>33</v>
      </c>
      <c r="B49" s="3475" t="s">
        <v>135</v>
      </c>
      <c r="C49" s="3472">
        <v>40</v>
      </c>
      <c r="D49" s="3481">
        <f>D43+D44+D46+D47</f>
        <v>39387</v>
      </c>
      <c r="E49" s="3482">
        <f>E43+E44+E46+E47</f>
        <v>-111525148</v>
      </c>
      <c r="I49" s="23"/>
      <c r="J49" s="23"/>
      <c r="K49" s="23"/>
      <c r="M49" s="6"/>
    </row>
    <row r="50" spans="1:13" ht="72.75">
      <c r="A50" s="3470">
        <v>34</v>
      </c>
      <c r="B50" s="3478" t="s">
        <v>2140</v>
      </c>
      <c r="C50" s="3472">
        <v>41</v>
      </c>
      <c r="D50" s="3476"/>
      <c r="E50" s="3477"/>
      <c r="I50" s="23"/>
      <c r="J50" s="23"/>
      <c r="K50" s="23"/>
      <c r="M50" s="6"/>
    </row>
    <row r="51" spans="1:13" ht="30">
      <c r="A51" s="3470">
        <v>35</v>
      </c>
      <c r="B51" s="3479" t="s">
        <v>136</v>
      </c>
      <c r="C51" s="3472" t="s">
        <v>137</v>
      </c>
      <c r="D51" s="3476"/>
      <c r="E51" s="3477"/>
      <c r="I51" s="23"/>
      <c r="J51" s="23"/>
      <c r="K51" s="23"/>
      <c r="M51" s="6"/>
    </row>
    <row r="52" spans="1:13" ht="18.75" customHeight="1">
      <c r="A52" s="3470">
        <v>36</v>
      </c>
      <c r="B52" s="3478" t="s">
        <v>138</v>
      </c>
      <c r="C52" s="3472">
        <v>42</v>
      </c>
      <c r="D52" s="3956">
        <v>635</v>
      </c>
      <c r="E52" s="3477">
        <f>+'SOLDURI BILANT'!E122</f>
        <v>318</v>
      </c>
      <c r="I52" s="23"/>
      <c r="J52" s="23"/>
      <c r="K52" s="23"/>
      <c r="M52" s="6"/>
    </row>
    <row r="53" spans="1:13" ht="31.5">
      <c r="A53" s="3470">
        <v>37</v>
      </c>
      <c r="B53" s="3475" t="s">
        <v>139</v>
      </c>
      <c r="C53" s="3472">
        <v>45</v>
      </c>
      <c r="D53" s="3481">
        <f>D29+D40+D41+D49+D50+D52+D51</f>
        <v>55617094</v>
      </c>
      <c r="E53" s="3482">
        <f>E29+E40+E41+E49+E50+E52+E51</f>
        <v>-53037742</v>
      </c>
      <c r="I53" s="23"/>
      <c r="J53" s="23"/>
      <c r="K53" s="23"/>
      <c r="M53" s="6"/>
    </row>
    <row r="54" spans="1:13">
      <c r="A54" s="3470">
        <v>38</v>
      </c>
      <c r="B54" s="3475" t="s">
        <v>140</v>
      </c>
      <c r="C54" s="3472">
        <v>46</v>
      </c>
      <c r="D54" s="3481">
        <f>D27+D53</f>
        <v>58259401</v>
      </c>
      <c r="E54" s="3482">
        <f>E27+E53</f>
        <v>-50494476</v>
      </c>
      <c r="F54" s="28"/>
      <c r="I54" s="23"/>
      <c r="J54" s="23"/>
      <c r="M54" s="6"/>
    </row>
    <row r="55" spans="1:13" ht="15.75" customHeight="1">
      <c r="A55" s="3470">
        <v>39</v>
      </c>
      <c r="B55" s="3475" t="s">
        <v>142</v>
      </c>
      <c r="C55" s="3472">
        <v>50</v>
      </c>
      <c r="D55" s="3473"/>
      <c r="E55" s="3474"/>
      <c r="I55" s="23"/>
      <c r="J55" s="23"/>
      <c r="K55" s="23"/>
      <c r="M55" s="6"/>
    </row>
    <row r="56" spans="1:13" ht="31.5">
      <c r="A56" s="3470">
        <v>40</v>
      </c>
      <c r="B56" s="3475" t="s">
        <v>143</v>
      </c>
      <c r="C56" s="3472">
        <v>51</v>
      </c>
      <c r="D56" s="3473"/>
      <c r="E56" s="3474"/>
      <c r="I56" s="23"/>
      <c r="J56" s="23"/>
      <c r="K56" s="23"/>
      <c r="M56" s="6"/>
    </row>
    <row r="57" spans="1:13" ht="58.5">
      <c r="A57" s="3470">
        <v>41</v>
      </c>
      <c r="B57" s="3478" t="s">
        <v>1882</v>
      </c>
      <c r="C57" s="3472">
        <v>52</v>
      </c>
      <c r="D57" s="3476"/>
      <c r="E57" s="3477">
        <f>+'SOLDURI BILANT'!F92+'SOLDURI BILANT'!F117+'SOLDURI BILANT'!F118</f>
        <v>0</v>
      </c>
      <c r="I57" s="23"/>
      <c r="J57" s="23"/>
      <c r="K57" s="23"/>
      <c r="M57" s="6"/>
    </row>
    <row r="58" spans="1:13" ht="29.25">
      <c r="A58" s="3470">
        <v>42</v>
      </c>
      <c r="B58" s="3479" t="s">
        <v>144</v>
      </c>
      <c r="C58" s="3485">
        <v>53</v>
      </c>
      <c r="D58" s="3476"/>
      <c r="E58" s="3477">
        <f>+'SOLDURI BILANT'!F117</f>
        <v>0</v>
      </c>
      <c r="F58" s="25"/>
      <c r="G58" s="25"/>
      <c r="I58" s="23"/>
      <c r="J58" s="23"/>
      <c r="K58" s="23"/>
      <c r="M58" s="6"/>
    </row>
    <row r="59" spans="1:13" ht="58.5">
      <c r="A59" s="3470">
        <v>43</v>
      </c>
      <c r="B59" s="3478" t="s">
        <v>145</v>
      </c>
      <c r="C59" s="3472">
        <v>54</v>
      </c>
      <c r="D59" s="3476"/>
      <c r="E59" s="3477">
        <f>+'SOLDURI BILANT'!F25</f>
        <v>0</v>
      </c>
      <c r="I59" s="23"/>
      <c r="J59" s="23"/>
      <c r="K59" s="23"/>
      <c r="M59" s="6"/>
    </row>
    <row r="60" spans="1:13" ht="29.25">
      <c r="A60" s="3470">
        <v>44</v>
      </c>
      <c r="B60" s="3478" t="s">
        <v>146</v>
      </c>
      <c r="C60" s="3472">
        <v>55</v>
      </c>
      <c r="D60" s="3959">
        <v>5226428</v>
      </c>
      <c r="E60" s="3488">
        <f>+'SOLDURI BILANT'!F21+'SOLDURI BILANT'!F22+'SOLDURI BILANT'!F23</f>
        <v>7332776</v>
      </c>
      <c r="I60" s="23"/>
      <c r="J60" s="23"/>
      <c r="K60" s="23"/>
      <c r="M60" s="6"/>
    </row>
    <row r="61" spans="1:13" ht="15" customHeight="1">
      <c r="A61" s="3470">
        <v>45</v>
      </c>
      <c r="B61" s="3475" t="s">
        <v>147</v>
      </c>
      <c r="C61" s="3472">
        <v>58</v>
      </c>
      <c r="D61" s="3481">
        <f>D57+D59+D60</f>
        <v>5226428</v>
      </c>
      <c r="E61" s="3482">
        <f>E57+E59+E60</f>
        <v>7332776</v>
      </c>
      <c r="I61" s="23"/>
      <c r="J61" s="23"/>
      <c r="K61" s="23"/>
      <c r="M61" s="6"/>
    </row>
    <row r="62" spans="1:13" ht="39" customHeight="1">
      <c r="A62" s="3470">
        <v>46</v>
      </c>
      <c r="B62" s="3475" t="s">
        <v>148</v>
      </c>
      <c r="C62" s="3472">
        <v>59</v>
      </c>
      <c r="D62" s="3473"/>
      <c r="E62" s="3474"/>
      <c r="I62" s="23"/>
      <c r="J62" s="23"/>
      <c r="K62" s="23"/>
      <c r="M62" s="6"/>
    </row>
    <row r="63" spans="1:13" ht="86.25">
      <c r="A63" s="3470">
        <v>47</v>
      </c>
      <c r="B63" s="3478" t="s">
        <v>2141</v>
      </c>
      <c r="C63" s="3472">
        <v>60</v>
      </c>
      <c r="D63" s="3956">
        <v>69737774</v>
      </c>
      <c r="E63" s="3477">
        <f>+'SOLDURI BILANT'!F77+'SOLDURI BILANT'!F78+'SOLDURI BILANT'!F79+'SOLDURI BILANT'!F115+'SOLDURI BILANT'!F126+'SOLDURI BILANT'!F84+'SOLDURI BILANT'!F125+'SOLDURI BILANT'!F116</f>
        <v>35912286</v>
      </c>
      <c r="F63" s="26"/>
      <c r="G63" s="27"/>
      <c r="I63" s="23"/>
      <c r="J63" s="23"/>
      <c r="K63" s="23"/>
      <c r="M63" s="6"/>
    </row>
    <row r="64" spans="1:13" ht="30">
      <c r="A64" s="3470">
        <v>48</v>
      </c>
      <c r="B64" s="3478" t="s">
        <v>1883</v>
      </c>
      <c r="C64" s="3472" t="s">
        <v>149</v>
      </c>
      <c r="D64" s="3484"/>
      <c r="E64" s="3477"/>
      <c r="F64" s="26"/>
      <c r="G64" s="27"/>
      <c r="I64" s="23"/>
      <c r="J64" s="23"/>
      <c r="K64" s="23"/>
      <c r="M64" s="6"/>
    </row>
    <row r="65" spans="1:13" ht="43.5">
      <c r="A65" s="3470">
        <v>49</v>
      </c>
      <c r="B65" s="3479" t="s">
        <v>150</v>
      </c>
      <c r="C65" s="3489">
        <v>61</v>
      </c>
      <c r="D65" s="3958">
        <v>63560675</v>
      </c>
      <c r="E65" s="3477">
        <f>+'SOLDURI BILANT'!F77+'SOLDURI BILANT'!F78+'SOLDURI BILANT'!F79+'SOLDURI BILANT'!F84+'SOLDURI BILANT'!F115</f>
        <v>30429595</v>
      </c>
      <c r="F65" s="25"/>
      <c r="G65" s="25"/>
      <c r="I65" s="23"/>
      <c r="J65" s="23"/>
      <c r="K65" s="23"/>
      <c r="M65" s="6"/>
    </row>
    <row r="66" spans="1:13">
      <c r="A66" s="3470">
        <v>50</v>
      </c>
      <c r="B66" s="3490" t="s">
        <v>1884</v>
      </c>
      <c r="C66" s="3491" t="s">
        <v>151</v>
      </c>
      <c r="D66" s="3476"/>
      <c r="E66" s="3477">
        <f>+'SOLDURI BILANT'!F84</f>
        <v>0</v>
      </c>
      <c r="F66" s="25"/>
      <c r="G66" s="25"/>
      <c r="I66" s="23"/>
      <c r="J66" s="23"/>
      <c r="K66" s="23"/>
      <c r="M66" s="6"/>
    </row>
    <row r="67" spans="1:13" ht="114.75">
      <c r="A67" s="3498">
        <v>51</v>
      </c>
      <c r="B67" s="3508" t="s">
        <v>2011</v>
      </c>
      <c r="C67" s="3500">
        <v>62</v>
      </c>
      <c r="D67" s="3956">
        <v>191207214</v>
      </c>
      <c r="E67" s="3509">
        <f>+'SOLDURI BILANT'!F94+'SOLDURI BILANT'!F95+'SOLDURI BILANT'!F96+'SOLDURI BILANT'!F97+'SOLDURI BILANT'!F98+'SOLDURI BILANT'!F100+'SOLDURI BILANT'!F101+'SOLDURI BILANT'!F102+'SOLDURI BILANT'!F104+'SOLDURI BILANT'!F105+'SOLDURI BILANT'!F120+'SOLDURI BILANT'!F103+'SOLDURI BILANT'!F127+'SOLDURI BILANT'!F99</f>
        <v>162842</v>
      </c>
      <c r="I67" s="23"/>
      <c r="J67" s="23"/>
      <c r="K67" s="23"/>
      <c r="M67" s="6"/>
    </row>
    <row r="68" spans="1:13">
      <c r="A68" s="3503">
        <v>52</v>
      </c>
      <c r="B68" s="3514" t="s">
        <v>152</v>
      </c>
      <c r="C68" s="3505">
        <v>63</v>
      </c>
      <c r="D68" s="3515"/>
      <c r="E68" s="3512"/>
      <c r="F68" s="25" t="str">
        <f>IF(D67&lt;D68,"eroare"," ")</f>
        <v xml:space="preserve"> </v>
      </c>
      <c r="G68" s="25"/>
      <c r="I68" s="23"/>
      <c r="J68" s="23"/>
      <c r="K68" s="23"/>
      <c r="M68" s="6"/>
    </row>
    <row r="69" spans="1:13" ht="43.5">
      <c r="A69" s="3470">
        <v>53</v>
      </c>
      <c r="B69" s="3479" t="s">
        <v>1885</v>
      </c>
      <c r="C69" s="3492" t="s">
        <v>153</v>
      </c>
      <c r="D69" s="3956">
        <v>142919</v>
      </c>
      <c r="E69" s="3477">
        <f>+'SOLDURI BILANT'!F94+'SOLDURI BILANT'!F95+'SOLDURI BILANT'!F96+'SOLDURI BILANT'!F97+'SOLDURI BILANT'!F98+'SOLDURI BILANT'!F100+'SOLDURI BILANT'!F101+'SOLDURI BILANT'!F102+'SOLDURI BILANT'!F99</f>
        <v>147089</v>
      </c>
      <c r="F69" s="25"/>
      <c r="G69" s="25"/>
      <c r="I69" s="23"/>
      <c r="J69" s="23"/>
      <c r="K69" s="23"/>
      <c r="M69" s="6"/>
    </row>
    <row r="70" spans="1:13" ht="30">
      <c r="A70" s="3470">
        <v>54</v>
      </c>
      <c r="B70" s="3479" t="s">
        <v>154</v>
      </c>
      <c r="C70" s="3472">
        <v>64</v>
      </c>
      <c r="D70" s="3476"/>
      <c r="E70" s="3477"/>
      <c r="I70" s="23"/>
      <c r="J70" s="23"/>
      <c r="K70" s="23"/>
      <c r="M70" s="6"/>
    </row>
    <row r="71" spans="1:13" ht="159">
      <c r="A71" s="3470">
        <v>55</v>
      </c>
      <c r="B71" s="3478" t="s">
        <v>1886</v>
      </c>
      <c r="C71" s="3472">
        <v>65</v>
      </c>
      <c r="D71" s="3476"/>
      <c r="E71" s="3477">
        <f>+'SOLDURI BILANT'!F124+'SOLDURI BILANT'!F110+'SOLDURI BILANT'!F108</f>
        <v>0</v>
      </c>
      <c r="I71" s="23"/>
      <c r="J71" s="23"/>
      <c r="K71" s="23"/>
      <c r="M71" s="6"/>
    </row>
    <row r="72" spans="1:13" ht="44.25">
      <c r="A72" s="3470">
        <v>56</v>
      </c>
      <c r="B72" s="3480" t="s">
        <v>155</v>
      </c>
      <c r="C72" s="3472">
        <v>66</v>
      </c>
      <c r="D72" s="3476"/>
      <c r="E72" s="3477"/>
      <c r="F72" s="25" t="str">
        <f>IF(D71&lt;D72,"eroare"," ")</f>
        <v xml:space="preserve"> </v>
      </c>
      <c r="G72" s="25"/>
      <c r="I72" s="23"/>
      <c r="J72" s="23"/>
      <c r="K72" s="23"/>
      <c r="M72" s="6"/>
    </row>
    <row r="73" spans="1:13" ht="87">
      <c r="A73" s="3470">
        <v>57</v>
      </c>
      <c r="B73" s="3478" t="s">
        <v>156</v>
      </c>
      <c r="C73" s="3472">
        <v>70</v>
      </c>
      <c r="D73" s="3476"/>
      <c r="E73" s="3477">
        <f>'SOLDURI BILANT'!F142</f>
        <v>0</v>
      </c>
      <c r="I73" s="23"/>
      <c r="J73" s="23"/>
      <c r="K73" s="23"/>
      <c r="M73" s="6"/>
    </row>
    <row r="74" spans="1:13" ht="101.25">
      <c r="A74" s="3470">
        <v>58</v>
      </c>
      <c r="B74" s="3478" t="s">
        <v>157</v>
      </c>
      <c r="C74" s="3472">
        <v>71</v>
      </c>
      <c r="D74" s="3476"/>
      <c r="E74" s="3477">
        <f>+'SOLDURI BILANT'!E24</f>
        <v>0</v>
      </c>
      <c r="I74" s="23"/>
      <c r="J74" s="23"/>
      <c r="K74" s="23"/>
      <c r="M74" s="6"/>
    </row>
    <row r="75" spans="1:13" ht="43.5">
      <c r="A75" s="3470">
        <v>59</v>
      </c>
      <c r="B75" s="3478" t="s">
        <v>158</v>
      </c>
      <c r="C75" s="3472">
        <v>72</v>
      </c>
      <c r="D75" s="3956">
        <v>240367</v>
      </c>
      <c r="E75" s="3477">
        <f>+'SOLDURI BILANT'!F85+'SOLDURI BILANT'!F86+'SOLDURI BILANT'!F88+'SOLDURI BILANT'!F89+'SOLDURI BILANT'!F90</f>
        <v>250124</v>
      </c>
      <c r="I75" s="23"/>
      <c r="J75" s="23"/>
      <c r="K75" s="23"/>
      <c r="M75" s="6"/>
    </row>
    <row r="76" spans="1:13" ht="58.5">
      <c r="A76" s="3470">
        <v>60</v>
      </c>
      <c r="B76" s="3478" t="s">
        <v>159</v>
      </c>
      <c r="C76" s="3472">
        <v>73</v>
      </c>
      <c r="D76" s="3476"/>
      <c r="E76" s="3477"/>
      <c r="F76" s="25"/>
      <c r="G76" s="25"/>
      <c r="I76" s="23"/>
      <c r="J76" s="23"/>
      <c r="K76" s="23"/>
      <c r="M76" s="6"/>
    </row>
    <row r="77" spans="1:13" ht="25.5" customHeight="1">
      <c r="A77" s="3470">
        <v>61</v>
      </c>
      <c r="B77" s="3493" t="s">
        <v>160</v>
      </c>
      <c r="C77" s="3472" t="s">
        <v>161</v>
      </c>
      <c r="D77" s="3484"/>
      <c r="E77" s="3477"/>
      <c r="F77" s="25" t="str">
        <f>IF(D76&lt;D77,"eroare"," ")</f>
        <v xml:space="preserve"> </v>
      </c>
      <c r="G77" s="25"/>
      <c r="I77" s="23"/>
      <c r="J77" s="23"/>
      <c r="K77" s="23"/>
      <c r="M77" s="6"/>
    </row>
    <row r="78" spans="1:13" ht="16.5" customHeight="1">
      <c r="A78" s="3470">
        <v>62</v>
      </c>
      <c r="B78" s="3478" t="s">
        <v>162</v>
      </c>
      <c r="C78" s="3472">
        <v>74</v>
      </c>
      <c r="D78" s="3956">
        <v>886</v>
      </c>
      <c r="E78" s="3477">
        <f>+'SOLDURI BILANT'!F123</f>
        <v>2969</v>
      </c>
      <c r="I78" s="23"/>
      <c r="J78" s="23"/>
      <c r="K78" s="23"/>
      <c r="M78" s="6"/>
    </row>
    <row r="79" spans="1:13" ht="29.25">
      <c r="A79" s="3470">
        <v>63</v>
      </c>
      <c r="B79" s="3478" t="s">
        <v>163</v>
      </c>
      <c r="C79" s="3472">
        <v>75</v>
      </c>
      <c r="D79" s="3484"/>
      <c r="E79" s="3477">
        <f>+'SOLDURI BILANT'!F18+'SOLDURI BILANT'!F19+'SOLDURI BILANT'!F20</f>
        <v>0</v>
      </c>
      <c r="I79" s="23"/>
      <c r="J79" s="23"/>
      <c r="K79" s="23"/>
      <c r="M79" s="6"/>
    </row>
    <row r="80" spans="1:13" ht="32.25" customHeight="1">
      <c r="A80" s="3470">
        <v>64</v>
      </c>
      <c r="B80" s="3475" t="s">
        <v>164</v>
      </c>
      <c r="C80" s="3472">
        <v>78</v>
      </c>
      <c r="D80" s="3481">
        <f>D63+D67+D71+D73+D74+D75+D76+D78+D79</f>
        <v>261186241</v>
      </c>
      <c r="E80" s="3482">
        <f>E63+E67+E71+E73+E74+E75+E76+E78+E79</f>
        <v>36328221</v>
      </c>
      <c r="I80" s="23"/>
      <c r="J80" s="23"/>
      <c r="K80" s="23"/>
      <c r="M80" s="6"/>
    </row>
    <row r="81" spans="1:13" ht="17.25" customHeight="1">
      <c r="A81" s="3470">
        <v>65</v>
      </c>
      <c r="B81" s="3475" t="s">
        <v>165</v>
      </c>
      <c r="C81" s="3472">
        <v>79</v>
      </c>
      <c r="D81" s="3481">
        <f>D61+D80</f>
        <v>266412669</v>
      </c>
      <c r="E81" s="3482">
        <f>E61+E80</f>
        <v>43660997</v>
      </c>
      <c r="I81" s="23"/>
      <c r="J81" s="23"/>
      <c r="K81" s="23"/>
      <c r="M81" s="6"/>
    </row>
    <row r="82" spans="1:13" ht="46.5" customHeight="1">
      <c r="A82" s="3470">
        <v>66</v>
      </c>
      <c r="B82" s="3475" t="s">
        <v>166</v>
      </c>
      <c r="C82" s="3472">
        <v>80</v>
      </c>
      <c r="D82" s="3494">
        <f>D54-D81</f>
        <v>-208153268</v>
      </c>
      <c r="E82" s="3495">
        <f>E54-E81</f>
        <v>-94155473</v>
      </c>
      <c r="I82" s="23"/>
      <c r="J82" s="23"/>
      <c r="K82" s="23"/>
      <c r="M82" s="6"/>
    </row>
    <row r="83" spans="1:13" ht="15.75" customHeight="1">
      <c r="A83" s="3470">
        <v>67</v>
      </c>
      <c r="B83" s="3475" t="s">
        <v>168</v>
      </c>
      <c r="C83" s="3472">
        <v>83</v>
      </c>
      <c r="D83" s="3496"/>
      <c r="E83" s="3497"/>
      <c r="I83" s="23"/>
      <c r="J83" s="23"/>
      <c r="K83" s="23"/>
      <c r="M83" s="6"/>
    </row>
    <row r="84" spans="1:13" ht="72" customHeight="1">
      <c r="A84" s="3498">
        <v>68</v>
      </c>
      <c r="B84" s="3508" t="s">
        <v>2287</v>
      </c>
      <c r="C84" s="3500">
        <v>84</v>
      </c>
      <c r="D84" s="3956">
        <v>2094507</v>
      </c>
      <c r="E84" s="3509">
        <f>+'SOLDURI BILANT'!F7+'SOLDURI BILANT'!F8+'SOLDURI BILANT'!F9+'SOLDURI BILANT'!F10+'SOLDURI BILANT'!F11+'SOLDURI BILANT'!F12+'SOLDURI BILANT'!F13+'SOLDURI BILANT'!E17+'SOLDURI BILANT'!F14</f>
        <v>2094493</v>
      </c>
      <c r="I84" s="23"/>
      <c r="J84" s="23"/>
      <c r="K84" s="23"/>
      <c r="M84" s="6"/>
    </row>
    <row r="85" spans="1:13" ht="30" customHeight="1">
      <c r="A85" s="3503">
        <v>69</v>
      </c>
      <c r="B85" s="3516" t="s">
        <v>169</v>
      </c>
      <c r="C85" s="3505">
        <v>85</v>
      </c>
      <c r="D85" s="3511">
        <v>0</v>
      </c>
      <c r="E85" s="3512">
        <f>+'SOLDURI BILANT'!F15</f>
        <v>0</v>
      </c>
      <c r="I85" s="23"/>
      <c r="J85" s="23"/>
      <c r="K85" s="23"/>
      <c r="M85" s="6"/>
    </row>
    <row r="86" spans="1:13" ht="30" customHeight="1">
      <c r="A86" s="3470">
        <v>70</v>
      </c>
      <c r="B86" s="3478" t="s">
        <v>170</v>
      </c>
      <c r="C86" s="3472">
        <v>86</v>
      </c>
      <c r="D86" s="3956">
        <v>6064824</v>
      </c>
      <c r="E86" s="3477">
        <f>+'SOLDURI BILANT'!E15</f>
        <v>19517653</v>
      </c>
      <c r="I86" s="23"/>
      <c r="J86" s="23"/>
      <c r="K86" s="23"/>
      <c r="M86" s="6"/>
    </row>
    <row r="87" spans="1:13" ht="30" customHeight="1">
      <c r="A87" s="3470">
        <v>71</v>
      </c>
      <c r="B87" s="3478" t="s">
        <v>171</v>
      </c>
      <c r="C87" s="3472">
        <v>87</v>
      </c>
      <c r="D87" s="3476">
        <v>0</v>
      </c>
      <c r="E87" s="3477">
        <f>+'SOLDURI BILANT'!F16</f>
        <v>0</v>
      </c>
      <c r="G87" s="24"/>
      <c r="I87" s="23"/>
      <c r="J87" s="23"/>
      <c r="K87" s="23"/>
      <c r="M87" s="6"/>
    </row>
    <row r="88" spans="1:13" ht="29.25">
      <c r="A88" s="3470">
        <v>72</v>
      </c>
      <c r="B88" s="3478" t="s">
        <v>172</v>
      </c>
      <c r="C88" s="3472">
        <v>88</v>
      </c>
      <c r="D88" s="3956">
        <v>204182951</v>
      </c>
      <c r="E88" s="3477">
        <f>+'SOLDURI BILANT'!E16</f>
        <v>76732313</v>
      </c>
      <c r="I88" s="23"/>
      <c r="J88" s="23"/>
      <c r="K88" s="23"/>
      <c r="M88" s="6"/>
    </row>
    <row r="89" spans="1:13" ht="36" customHeight="1">
      <c r="A89" s="3498">
        <v>73</v>
      </c>
      <c r="B89" s="3499" t="s">
        <v>173</v>
      </c>
      <c r="C89" s="3500">
        <v>90</v>
      </c>
      <c r="D89" s="3501">
        <f>D84+D85-D86+D87-D88</f>
        <v>-208153268</v>
      </c>
      <c r="E89" s="3502">
        <f>E84+E85-E86+E87-E88</f>
        <v>-94155473</v>
      </c>
      <c r="I89" s="23"/>
      <c r="J89" s="23"/>
      <c r="K89" s="23"/>
      <c r="M89" s="6"/>
    </row>
    <row r="90" spans="1:13" ht="18" customHeight="1">
      <c r="A90" s="15"/>
      <c r="B90" s="29" t="s">
        <v>174</v>
      </c>
      <c r="C90" s="30"/>
      <c r="D90" s="25" t="str">
        <f>IF(D82&lt;&gt;D89,"eroare"," ")</f>
        <v xml:space="preserve"> </v>
      </c>
      <c r="E90" s="25" t="str">
        <f>IF(E82&lt;&gt;E89,"eroare"," ")</f>
        <v xml:space="preserve"> </v>
      </c>
    </row>
    <row r="91" spans="1:13" ht="15.75" customHeight="1">
      <c r="B91" s="32" t="s">
        <v>175</v>
      </c>
      <c r="C91" s="31"/>
      <c r="D91" s="31"/>
      <c r="E91" s="31"/>
    </row>
    <row r="92" spans="1:13" ht="15.75" customHeight="1">
      <c r="B92" s="32"/>
      <c r="C92" s="31"/>
      <c r="D92" s="958"/>
      <c r="E92" s="31"/>
    </row>
    <row r="93" spans="1:13" ht="15.75" customHeight="1">
      <c r="B93" s="32"/>
      <c r="C93" s="31"/>
      <c r="D93" s="31"/>
      <c r="E93" s="31"/>
    </row>
    <row r="94" spans="1:13" ht="15.75" customHeight="1">
      <c r="B94" s="2832" t="s">
        <v>2644</v>
      </c>
      <c r="C94" s="31"/>
      <c r="D94" s="3984" t="s">
        <v>2645</v>
      </c>
      <c r="E94" s="3984"/>
    </row>
    <row r="95" spans="1:13" ht="15.75" customHeight="1">
      <c r="D95" s="63"/>
      <c r="E95" s="1580"/>
    </row>
    <row r="96" spans="1:13" ht="15.75" customHeight="1">
      <c r="B96" s="2830" t="s">
        <v>2650</v>
      </c>
      <c r="C96" s="765"/>
      <c r="D96" s="3977" t="s">
        <v>2651</v>
      </c>
      <c r="E96" s="3977"/>
    </row>
    <row r="97" spans="1:7" s="1" customFormat="1" ht="15" customHeight="1">
      <c r="A97" s="13"/>
      <c r="B97" s="2831"/>
      <c r="C97" s="1854"/>
      <c r="D97" s="1091"/>
      <c r="E97" s="1855"/>
      <c r="F97" s="13"/>
      <c r="G97" s="13"/>
    </row>
    <row r="98" spans="1:7" s="1" customFormat="1" ht="15.75" customHeight="1">
      <c r="A98" s="13"/>
      <c r="B98" s="1091"/>
      <c r="C98" s="1854"/>
      <c r="D98" s="1091"/>
      <c r="E98" s="1855"/>
      <c r="F98" s="13"/>
      <c r="G98" s="13"/>
    </row>
    <row r="99" spans="1:7" s="1" customFormat="1" ht="15.75" customHeight="1">
      <c r="A99" s="13"/>
      <c r="B99" s="1856"/>
      <c r="C99" s="1854"/>
      <c r="D99" s="3976"/>
      <c r="E99" s="3976"/>
      <c r="F99" s="13"/>
      <c r="G99" s="13"/>
    </row>
    <row r="100" spans="1:7" s="1" customFormat="1" ht="15" customHeight="1">
      <c r="A100" s="13"/>
      <c r="B100" s="767"/>
      <c r="C100" s="1852"/>
      <c r="D100" s="1578"/>
      <c r="E100" s="1579"/>
      <c r="F100" s="13"/>
      <c r="G100" s="13"/>
    </row>
    <row r="101" spans="1:7" s="1" customFormat="1" ht="14.25" customHeight="1">
      <c r="A101" s="13"/>
      <c r="B101" s="1857"/>
      <c r="C101" s="1852"/>
      <c r="D101" s="3976"/>
      <c r="E101" s="3976"/>
      <c r="F101" s="13"/>
      <c r="G101" s="13"/>
    </row>
    <row r="102" spans="1:7" s="1" customFormat="1" ht="15.75" customHeight="1">
      <c r="A102" s="13"/>
      <c r="B102" s="1053"/>
      <c r="C102" s="1852"/>
      <c r="D102" s="1053"/>
      <c r="E102" s="1855"/>
      <c r="F102" s="13"/>
      <c r="G102" s="13"/>
    </row>
    <row r="103" spans="1:7" s="1" customFormat="1" ht="15.75" customHeight="1">
      <c r="A103" s="13"/>
      <c r="B103" s="1053"/>
      <c r="C103" s="1853"/>
      <c r="D103" s="1053"/>
      <c r="E103" s="1855"/>
      <c r="F103" s="13"/>
      <c r="G103" s="13"/>
    </row>
    <row r="104" spans="1:7" s="1" customFormat="1" ht="15" customHeight="1">
      <c r="A104" s="13"/>
      <c r="B104" s="1091"/>
      <c r="C104" s="1854"/>
      <c r="D104" s="1091"/>
      <c r="E104" s="1855"/>
      <c r="F104" s="13"/>
      <c r="G104" s="13"/>
    </row>
    <row r="105" spans="1:7" s="1" customFormat="1" ht="15.75" customHeight="1">
      <c r="A105" s="13"/>
      <c r="B105" s="1091"/>
      <c r="C105" s="1854"/>
      <c r="D105" s="1091"/>
      <c r="E105" s="1855"/>
      <c r="F105" s="13"/>
      <c r="G105" s="13"/>
    </row>
    <row r="106" spans="1:7" s="1" customFormat="1" ht="15.75" customHeight="1">
      <c r="A106" s="13"/>
      <c r="B106" s="1091"/>
      <c r="C106" s="1854"/>
      <c r="D106" s="1091"/>
      <c r="E106" s="1855"/>
      <c r="F106" s="13"/>
      <c r="G106" s="13"/>
    </row>
    <row r="107" spans="1:7" s="1" customFormat="1" ht="15.75" customHeight="1">
      <c r="A107" s="13"/>
      <c r="B107" s="1091"/>
      <c r="C107" s="1854"/>
      <c r="D107" s="1091"/>
      <c r="E107" s="1855"/>
      <c r="F107" s="13"/>
      <c r="G107" s="13"/>
    </row>
    <row r="108" spans="1:7" s="1" customFormat="1" ht="15.75" customHeight="1">
      <c r="A108" s="13"/>
      <c r="B108" s="1091"/>
      <c r="C108" s="1854"/>
      <c r="D108" s="1091"/>
      <c r="E108" s="1855"/>
      <c r="F108" s="13"/>
      <c r="G108" s="13"/>
    </row>
    <row r="109" spans="1:7" s="1" customFormat="1" ht="15.75" customHeight="1">
      <c r="A109" s="13"/>
      <c r="B109" s="1091"/>
      <c r="C109" s="1854"/>
      <c r="D109" s="1091"/>
      <c r="E109" s="1855"/>
      <c r="F109" s="13"/>
      <c r="G109" s="13"/>
    </row>
    <row r="110" spans="1:7" s="1" customFormat="1" ht="12.75">
      <c r="A110" s="13"/>
      <c r="B110" s="1091"/>
      <c r="C110" s="1854"/>
      <c r="D110" s="1091"/>
      <c r="E110" s="1855"/>
      <c r="F110" s="13"/>
      <c r="G110" s="13"/>
    </row>
    <row r="111" spans="1:7" s="1" customFormat="1" ht="12.75">
      <c r="A111" s="13"/>
      <c r="B111" s="1091"/>
      <c r="C111" s="1854"/>
      <c r="D111" s="1091"/>
      <c r="E111" s="1855"/>
      <c r="F111" s="13"/>
      <c r="G111" s="13"/>
    </row>
    <row r="112" spans="1:7" s="1" customFormat="1">
      <c r="A112" s="1133"/>
      <c r="B112" s="13"/>
      <c r="C112" s="1133"/>
      <c r="D112" s="13"/>
      <c r="E112" s="1858"/>
      <c r="F112" s="1859"/>
      <c r="G112" s="1859"/>
    </row>
    <row r="113" spans="2:7" s="1" customFormat="1">
      <c r="B113" s="13"/>
      <c r="C113" s="1133"/>
      <c r="D113" s="13"/>
      <c r="E113" s="1858"/>
      <c r="F113" s="1859"/>
      <c r="G113" s="1859"/>
    </row>
    <row r="114" spans="2:7" s="1" customFormat="1">
      <c r="B114" s="13"/>
      <c r="C114" s="1133"/>
      <c r="D114" s="13"/>
      <c r="E114" s="1858"/>
      <c r="F114" s="1859"/>
      <c r="G114" s="1859"/>
    </row>
    <row r="115" spans="2:7" s="1" customFormat="1">
      <c r="C115" s="2"/>
      <c r="E115" s="3"/>
      <c r="F115" s="4"/>
      <c r="G115" s="4"/>
    </row>
    <row r="116" spans="2:7" s="1" customFormat="1">
      <c r="C116" s="2"/>
      <c r="E116" s="3"/>
      <c r="F116" s="4"/>
      <c r="G116" s="4"/>
    </row>
    <row r="117" spans="2:7" s="1" customFormat="1">
      <c r="C117" s="2"/>
      <c r="E117" s="3"/>
      <c r="F117" s="4"/>
      <c r="G117" s="4"/>
    </row>
    <row r="118" spans="2:7" s="1" customFormat="1">
      <c r="C118" s="2"/>
      <c r="E118" s="3"/>
      <c r="F118" s="4"/>
      <c r="G118" s="4"/>
    </row>
    <row r="119" spans="2:7" s="1" customFormat="1">
      <c r="C119" s="2"/>
      <c r="E119" s="3"/>
      <c r="F119" s="4"/>
      <c r="G119" s="4"/>
    </row>
    <row r="120" spans="2:7" s="1" customFormat="1">
      <c r="C120" s="2"/>
      <c r="E120" s="3"/>
      <c r="F120" s="4"/>
      <c r="G120" s="4"/>
    </row>
    <row r="121" spans="2:7" s="1" customFormat="1">
      <c r="C121" s="2"/>
      <c r="E121" s="3"/>
      <c r="F121" s="4"/>
      <c r="G121" s="4"/>
    </row>
    <row r="122" spans="2:7" s="1" customFormat="1">
      <c r="C122" s="2"/>
      <c r="E122" s="3"/>
      <c r="F122" s="4"/>
      <c r="G122" s="4"/>
    </row>
    <row r="123" spans="2:7" s="1" customFormat="1">
      <c r="C123" s="2"/>
      <c r="E123" s="3"/>
      <c r="F123" s="4"/>
      <c r="G123" s="4"/>
    </row>
    <row r="124" spans="2:7" s="1" customFormat="1">
      <c r="C124" s="2"/>
      <c r="E124" s="3"/>
      <c r="F124" s="4"/>
      <c r="G124" s="4"/>
    </row>
    <row r="125" spans="2:7" s="1" customFormat="1">
      <c r="C125" s="2"/>
      <c r="E125" s="3"/>
      <c r="F125" s="4"/>
      <c r="G125" s="4"/>
    </row>
    <row r="126" spans="2:7" s="1" customFormat="1">
      <c r="C126" s="2"/>
      <c r="E126" s="3"/>
      <c r="F126" s="4"/>
      <c r="G126" s="4"/>
    </row>
    <row r="127" spans="2:7" s="1" customFormat="1">
      <c r="C127" s="2"/>
      <c r="E127" s="3"/>
      <c r="F127" s="4"/>
      <c r="G127" s="4"/>
    </row>
    <row r="128" spans="2:7" s="1" customFormat="1">
      <c r="C128" s="2"/>
      <c r="E128" s="3"/>
      <c r="F128" s="4"/>
      <c r="G128" s="4"/>
    </row>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1" customFormat="1" ht="12.75"/>
    <row r="1349" s="1" customFormat="1" ht="12.75"/>
    <row r="1350" s="1" customFormat="1" ht="12.75"/>
    <row r="1351" s="1" customFormat="1" ht="12.75"/>
    <row r="1352" s="1" customFormat="1" ht="12.75"/>
    <row r="1353" s="1" customFormat="1" ht="12.75"/>
    <row r="1354" s="1" customFormat="1" ht="12.75"/>
    <row r="1355" s="1" customFormat="1" ht="12.75"/>
    <row r="1356" s="1" customFormat="1" ht="12.75"/>
    <row r="1357" s="1" customFormat="1" ht="12.75"/>
    <row r="1358" s="1" customFormat="1" ht="12.75"/>
    <row r="1359" s="1" customFormat="1" ht="12.75"/>
    <row r="1360" s="1" customFormat="1" ht="12.75"/>
    <row r="1361" s="1" customFormat="1" ht="12.75"/>
    <row r="1362" s="1" customFormat="1" ht="12.75"/>
    <row r="1363" s="1" customFormat="1" ht="12.75"/>
    <row r="1364" s="1" customFormat="1" ht="12.75"/>
    <row r="1365" s="1" customFormat="1" ht="12.75"/>
    <row r="1366" s="1" customFormat="1" ht="12.75"/>
    <row r="1367" s="1" customFormat="1" ht="12.75"/>
    <row r="1368" s="1" customFormat="1" ht="12.75"/>
    <row r="1369" s="1" customFormat="1" ht="12.75"/>
    <row r="1370" s="1" customFormat="1" ht="12.75"/>
    <row r="1371" s="1" customFormat="1" ht="12.75"/>
    <row r="1372" s="1" customFormat="1" ht="12.75"/>
    <row r="1373" s="1" customFormat="1" ht="12.75"/>
    <row r="1374" s="1" customFormat="1" ht="12.75"/>
    <row r="1375" s="1" customFormat="1" ht="12.75"/>
    <row r="1376" s="1" customFormat="1" ht="12.75"/>
    <row r="1377" s="1" customFormat="1" ht="12.75"/>
    <row r="1378" s="1" customFormat="1" ht="12.75"/>
    <row r="1379" s="1" customFormat="1" ht="12.75"/>
    <row r="1380" s="1" customFormat="1" ht="12.75"/>
    <row r="1381" s="1" customFormat="1" ht="12.75"/>
    <row r="1382" s="1" customFormat="1" ht="12.75"/>
    <row r="1383" s="1" customFormat="1" ht="12.75"/>
    <row r="1384" s="1" customFormat="1" ht="12.75"/>
    <row r="1385" s="1" customFormat="1" ht="12.75"/>
    <row r="1386" s="1" customFormat="1" ht="12.75"/>
    <row r="1387" s="1" customFormat="1" ht="12.75"/>
    <row r="1388" s="1" customFormat="1" ht="12.75"/>
    <row r="1389" s="1" customFormat="1" ht="12.75"/>
    <row r="1390" s="1" customFormat="1" ht="12.75"/>
    <row r="1391" s="1" customFormat="1" ht="12.75"/>
    <row r="1392" s="1" customFormat="1" ht="12.75"/>
    <row r="1393" s="1" customFormat="1" ht="12.75"/>
    <row r="1394" s="1" customFormat="1" ht="12.75"/>
    <row r="1395" s="1" customFormat="1" ht="12.75"/>
    <row r="1396" s="1" customFormat="1" ht="12.75"/>
    <row r="1397" s="1" customFormat="1" ht="12.75"/>
    <row r="1398" s="1" customFormat="1" ht="12.75"/>
    <row r="1399" s="1" customFormat="1" ht="12.75"/>
    <row r="1400" s="1" customFormat="1" ht="12.75"/>
    <row r="1401" s="1" customFormat="1" ht="12.75"/>
    <row r="1402" s="1" customFormat="1" ht="12.75"/>
    <row r="1403" s="1" customFormat="1" ht="12.75"/>
    <row r="1404" s="1" customFormat="1" ht="12.75"/>
    <row r="1405" s="1" customFormat="1" ht="12.75"/>
    <row r="1406" s="1" customFormat="1" ht="12.75"/>
    <row r="1407" s="1" customFormat="1" ht="12.75"/>
    <row r="1408" s="1" customFormat="1" ht="12.75"/>
    <row r="1409" s="1" customFormat="1" ht="12.75"/>
    <row r="1410" s="1" customFormat="1" ht="12.75"/>
    <row r="1411" s="1" customFormat="1" ht="12.75"/>
    <row r="1412" s="1" customFormat="1" ht="12.75"/>
    <row r="1413" s="1" customFormat="1" ht="12.75"/>
    <row r="1414" s="1" customFormat="1" ht="12.75"/>
    <row r="1415" s="1" customFormat="1" ht="12.75"/>
    <row r="1416" s="1" customFormat="1" ht="12.75"/>
    <row r="1417" s="1" customFormat="1" ht="12.75"/>
    <row r="1418" s="1" customFormat="1" ht="12.75"/>
    <row r="1419" s="1" customFormat="1" ht="12.75"/>
    <row r="1420" s="1" customFormat="1" ht="12.75"/>
    <row r="1421" s="1" customFormat="1" ht="12.75"/>
    <row r="1422" s="1" customFormat="1" ht="12.75"/>
    <row r="1423" s="1" customFormat="1" ht="12.75"/>
    <row r="1424" s="1" customFormat="1" ht="12.75"/>
    <row r="1425" s="1" customFormat="1" ht="12.75"/>
    <row r="1426" s="1" customFormat="1" ht="12.75"/>
    <row r="1427" s="1" customFormat="1" ht="12.75"/>
    <row r="1428" s="1" customFormat="1" ht="12.75"/>
    <row r="1429" s="1" customFormat="1" ht="12.75"/>
    <row r="1430" s="1" customFormat="1" ht="12.75"/>
    <row r="1431" s="1" customFormat="1" ht="12.75"/>
    <row r="1432" s="1" customFormat="1" ht="12.75"/>
    <row r="1433" s="1" customFormat="1" ht="12.75"/>
    <row r="1434" s="1" customFormat="1" ht="12.75"/>
    <row r="1435" s="1" customFormat="1" ht="12.75"/>
    <row r="1436" s="1" customFormat="1" ht="12.75"/>
    <row r="1437" s="1" customFormat="1" ht="12.75"/>
    <row r="1438" s="1" customFormat="1" ht="12.75"/>
    <row r="1439" s="1" customFormat="1" ht="12.75"/>
    <row r="1440" s="1" customFormat="1" ht="12.75"/>
    <row r="1441" s="1" customFormat="1" ht="12.75"/>
    <row r="1442" s="1" customFormat="1" ht="12.75"/>
    <row r="1443" s="1" customFormat="1" ht="12.75"/>
    <row r="1444" s="1" customFormat="1" ht="12.75"/>
    <row r="1445" s="1" customFormat="1" ht="12.75"/>
    <row r="1446" s="1" customFormat="1" ht="12.75"/>
    <row r="1447" s="1" customFormat="1" ht="12.75"/>
    <row r="1448" s="1" customFormat="1" ht="12.75"/>
    <row r="1449" s="1" customFormat="1" ht="12.75"/>
    <row r="1450" s="1" customFormat="1" ht="12.75"/>
    <row r="1451" s="1" customFormat="1" ht="12.75"/>
    <row r="1452" s="1" customFormat="1" ht="12.75"/>
    <row r="1453" s="1" customFormat="1" ht="12.75"/>
    <row r="1454" s="1" customFormat="1" ht="12.75"/>
    <row r="1455" s="1" customFormat="1" ht="12.75"/>
    <row r="1456" s="1" customFormat="1" ht="12.75"/>
    <row r="1457" s="1" customFormat="1" ht="12.75"/>
    <row r="1458" s="1" customFormat="1" ht="12.75"/>
    <row r="1459" s="1" customFormat="1" ht="12.75"/>
    <row r="1460" s="1" customFormat="1" ht="12.75"/>
    <row r="1461" s="1" customFormat="1" ht="12.75"/>
    <row r="1462" s="1" customFormat="1" ht="12.75"/>
    <row r="1463" s="1" customFormat="1" ht="12.75"/>
    <row r="1464" s="1" customFormat="1" ht="12.75"/>
    <row r="1465" s="1" customFormat="1" ht="12.75"/>
    <row r="1466" s="1" customFormat="1" ht="12.75"/>
    <row r="1467" s="1" customFormat="1" ht="12.75"/>
    <row r="1468" s="1" customFormat="1" ht="12.75"/>
    <row r="1469" s="1" customFormat="1" ht="12.75"/>
    <row r="1470" s="1" customFormat="1" ht="12.75"/>
    <row r="1471" s="1" customFormat="1" ht="12.75"/>
    <row r="1472" s="1" customFormat="1" ht="12.75"/>
    <row r="1473" s="1" customFormat="1" ht="12.75"/>
    <row r="1474" s="1" customFormat="1" ht="12.75"/>
    <row r="1475" s="1" customFormat="1" ht="12.75"/>
    <row r="1476" s="1" customFormat="1" ht="12.75"/>
    <row r="1477" s="1" customFormat="1" ht="12.75"/>
    <row r="1478" s="1" customFormat="1" ht="12.75"/>
    <row r="1479" s="1" customFormat="1" ht="12.75"/>
    <row r="1480" s="1" customFormat="1" ht="12.75"/>
    <row r="1481" s="1" customFormat="1" ht="12.75"/>
    <row r="1482" s="1" customFormat="1" ht="12.75"/>
    <row r="1483" s="1" customFormat="1" ht="12.75"/>
    <row r="1484" s="1" customFormat="1" ht="12.75"/>
    <row r="1485" s="1" customFormat="1" ht="12.75"/>
    <row r="1486" s="1" customFormat="1" ht="12.75"/>
    <row r="1487" s="1" customFormat="1" ht="12.75"/>
    <row r="1488" s="1" customFormat="1" ht="12.75"/>
    <row r="1489" s="1" customFormat="1" ht="12.75"/>
    <row r="1490" s="1" customFormat="1" ht="12.75"/>
    <row r="1491" s="1" customFormat="1" ht="12.75"/>
    <row r="1492" s="1" customFormat="1" ht="12.75"/>
    <row r="1493" s="1" customFormat="1" ht="12.75"/>
    <row r="1494" s="1" customFormat="1" ht="12.75"/>
    <row r="1495" s="1" customFormat="1" ht="12.75"/>
    <row r="1496" s="1" customFormat="1" ht="12.75"/>
    <row r="1497" s="1" customFormat="1" ht="12.75"/>
    <row r="1498" s="1" customFormat="1" ht="12.75"/>
    <row r="1499" s="1" customFormat="1" ht="12.75"/>
    <row r="1500" s="1" customFormat="1" ht="12.75"/>
    <row r="1501" s="1" customFormat="1" ht="12.75"/>
    <row r="1502" s="1" customFormat="1" ht="12.75"/>
    <row r="1503" s="1" customFormat="1" ht="12.75"/>
    <row r="1504" s="1" customFormat="1" ht="12.75"/>
    <row r="1505" s="1" customFormat="1" ht="12.75"/>
    <row r="1506" s="1" customFormat="1" ht="12.75"/>
    <row r="1507" s="1" customFormat="1" ht="12.75"/>
    <row r="1508" s="1" customFormat="1" ht="12.75"/>
    <row r="1509" s="1" customFormat="1" ht="12.75"/>
    <row r="1510" s="1" customFormat="1" ht="12.75"/>
    <row r="1511" s="1" customFormat="1" ht="12.75"/>
    <row r="1512" s="1" customFormat="1" ht="12.75"/>
    <row r="1513" s="1" customFormat="1" ht="12.75"/>
    <row r="1514" s="1" customFormat="1" ht="12.75"/>
    <row r="1515" s="1" customFormat="1" ht="12.75"/>
    <row r="1516" s="1" customFormat="1" ht="12.75"/>
    <row r="1517" s="1" customFormat="1" ht="12.75"/>
    <row r="1518" s="1" customFormat="1" ht="12.75"/>
    <row r="1519" s="1" customFormat="1" ht="12.75"/>
    <row r="1520" s="1" customFormat="1" ht="12.75"/>
    <row r="1521" s="1" customFormat="1" ht="12.75"/>
    <row r="1522" s="1" customFormat="1" ht="12.75"/>
    <row r="1523" s="1" customFormat="1" ht="12.75"/>
    <row r="1524" s="1" customFormat="1" ht="12.75"/>
    <row r="1525" s="1" customFormat="1" ht="12.75"/>
    <row r="1526" s="1" customFormat="1" ht="12.75"/>
    <row r="1527" s="1" customFormat="1" ht="12.75"/>
    <row r="1528" s="1" customFormat="1" ht="12.75"/>
    <row r="1529" s="1" customFormat="1" ht="12.75"/>
    <row r="1530" s="1" customFormat="1" ht="12.75"/>
    <row r="1531" s="1" customFormat="1" ht="12.75"/>
    <row r="1532" s="1" customFormat="1" ht="12.75"/>
    <row r="1533" s="1" customFormat="1" ht="12.75"/>
    <row r="1534" s="1" customFormat="1" ht="12.75"/>
    <row r="1535" s="1" customFormat="1" ht="12.75"/>
    <row r="1536" s="1" customFormat="1" ht="12.75"/>
    <row r="1537" s="1" customFormat="1" ht="12.75"/>
    <row r="1538" s="1" customFormat="1" ht="12.75"/>
    <row r="1539" s="1" customFormat="1" ht="12.75"/>
    <row r="1540" s="1" customFormat="1" ht="12.75"/>
    <row r="1541" s="1" customFormat="1" ht="12.75"/>
    <row r="1542" s="1" customFormat="1" ht="12.75"/>
    <row r="1543" s="1" customFormat="1" ht="12.75"/>
    <row r="1544" s="1" customFormat="1" ht="12.75"/>
    <row r="1545" s="1" customFormat="1" ht="12.75"/>
    <row r="1546" s="1" customFormat="1" ht="12.75"/>
    <row r="1547" s="1" customFormat="1" ht="12.75"/>
    <row r="1548" s="1" customFormat="1" ht="12.75"/>
    <row r="1549" s="1" customFormat="1" ht="12.75"/>
    <row r="1550" s="1" customFormat="1" ht="12.75"/>
    <row r="1551" s="1" customFormat="1" ht="12.75"/>
    <row r="1552" s="1" customFormat="1" ht="12.75"/>
    <row r="1553" s="1" customFormat="1" ht="12.75"/>
    <row r="1554" s="1" customFormat="1" ht="12.75"/>
    <row r="1555" s="1" customFormat="1" ht="12.75"/>
    <row r="1556" s="1" customFormat="1" ht="12.75"/>
    <row r="1557" s="1" customFormat="1" ht="12.75"/>
    <row r="1558" s="1" customFormat="1" ht="12.75"/>
    <row r="1559" s="1" customFormat="1" ht="12.75"/>
    <row r="1560" s="1" customFormat="1" ht="12.75"/>
    <row r="1561" s="1" customFormat="1" ht="12.75"/>
    <row r="1562" s="1" customFormat="1" ht="12.75"/>
    <row r="1563" s="1" customFormat="1" ht="12.75"/>
    <row r="1564" s="1" customFormat="1" ht="12.75"/>
    <row r="1565" s="1" customFormat="1" ht="12.75"/>
    <row r="1566" s="1" customFormat="1" ht="12.75"/>
    <row r="1567" s="1" customFormat="1" ht="12.75"/>
    <row r="1568" s="1" customFormat="1" ht="12.75"/>
    <row r="1569" s="1" customFormat="1" ht="12.75"/>
    <row r="1570" s="1" customFormat="1" ht="12.75"/>
    <row r="1571" s="1" customFormat="1" ht="12.75"/>
    <row r="1572" s="1" customFormat="1" ht="12.75"/>
    <row r="1573" s="1" customFormat="1" ht="12.75"/>
    <row r="1574" s="1" customFormat="1" ht="12.75"/>
    <row r="1575" s="1" customFormat="1" ht="12.75"/>
    <row r="1576" s="1" customFormat="1" ht="12.75"/>
    <row r="1577" s="1" customFormat="1" ht="12.75"/>
    <row r="1578" s="1" customFormat="1" ht="12.75"/>
    <row r="1579" s="1" customFormat="1" ht="12.75"/>
    <row r="1580" s="1" customFormat="1" ht="12.75"/>
    <row r="1581" s="1" customFormat="1" ht="12.75"/>
    <row r="1582" s="1" customFormat="1" ht="12.75"/>
    <row r="1583" s="1" customFormat="1" ht="12.75"/>
    <row r="1584" s="1" customFormat="1" ht="12.75"/>
    <row r="1585" s="1" customFormat="1" ht="12.75"/>
    <row r="1586" s="1" customFormat="1" ht="12.75"/>
    <row r="1587" s="1" customFormat="1" ht="12.75"/>
    <row r="1588" s="1" customFormat="1" ht="12.75"/>
    <row r="1589" s="1" customFormat="1" ht="12.75"/>
    <row r="1590" s="1" customFormat="1" ht="12.75"/>
    <row r="1591" s="1" customFormat="1" ht="12.75"/>
    <row r="1592" s="1" customFormat="1" ht="12.75"/>
    <row r="1593" s="1" customFormat="1" ht="12.75"/>
    <row r="1594" s="1" customFormat="1" ht="12.75"/>
    <row r="1595" s="1" customFormat="1" ht="12.75"/>
    <row r="1596" s="1" customFormat="1" ht="12.75"/>
    <row r="1597" s="1" customFormat="1" ht="12.75"/>
    <row r="1598" s="1" customFormat="1" ht="12.75"/>
    <row r="1599" s="1" customFormat="1" ht="12.75"/>
    <row r="1600" s="1" customFormat="1" ht="12.75"/>
    <row r="1601" s="1" customFormat="1" ht="12.75"/>
    <row r="1602" s="1" customFormat="1" ht="12.75"/>
    <row r="1603" s="1" customFormat="1" ht="12.75"/>
    <row r="1604" s="1" customFormat="1" ht="12.75"/>
    <row r="1605" s="1" customFormat="1" ht="12.75"/>
    <row r="1606" s="1" customFormat="1" ht="12.75"/>
    <row r="1607" s="1" customFormat="1" ht="12.75"/>
    <row r="1608" s="1" customFormat="1" ht="12.75"/>
    <row r="1609" s="1" customFormat="1" ht="12.75"/>
    <row r="1610" s="1" customFormat="1" ht="12.75"/>
    <row r="1611" s="1" customFormat="1" ht="12.75"/>
    <row r="1612" s="1" customFormat="1" ht="12.75"/>
    <row r="1613" s="1" customFormat="1" ht="12.75"/>
    <row r="1614" s="1" customFormat="1" ht="12.75"/>
    <row r="1615" s="1" customFormat="1" ht="12.75"/>
    <row r="1616" s="1" customFormat="1" ht="12.75"/>
    <row r="1617" s="1" customFormat="1" ht="12.75"/>
    <row r="1618" s="1" customFormat="1" ht="12.75"/>
    <row r="1619" s="1" customFormat="1" ht="12.75"/>
    <row r="1620" s="1" customFormat="1" ht="12.75"/>
    <row r="1621" s="1" customFormat="1" ht="12.75"/>
    <row r="1622" s="1" customFormat="1" ht="12.75"/>
    <row r="1623" s="1" customFormat="1" ht="12.75"/>
    <row r="1624" s="1" customFormat="1" ht="12.75"/>
    <row r="1625" s="1" customFormat="1" ht="12.75"/>
    <row r="1626" s="1" customFormat="1" ht="12.75"/>
    <row r="1627" s="1" customFormat="1" ht="12.75"/>
    <row r="1628" s="1" customFormat="1" ht="12.75"/>
    <row r="1629" s="1" customFormat="1" ht="12.75"/>
    <row r="1630" s="1" customFormat="1" ht="12.75"/>
    <row r="1631" s="1" customFormat="1" ht="12.75"/>
    <row r="1632" s="1" customFormat="1" ht="12.75"/>
    <row r="1633" s="1" customFormat="1" ht="12.75"/>
    <row r="1634" s="1" customFormat="1" ht="12.75"/>
    <row r="1635" s="1" customFormat="1" ht="12.75"/>
    <row r="1636" s="1" customFormat="1" ht="12.75"/>
    <row r="1637" s="1" customFormat="1" ht="12.75"/>
    <row r="1638" s="1" customFormat="1" ht="12.75"/>
    <row r="1639" s="1" customFormat="1" ht="12.75"/>
    <row r="1640" s="1" customFormat="1" ht="12.75"/>
    <row r="1641" s="1" customFormat="1" ht="12.75"/>
    <row r="1642" s="1" customFormat="1" ht="12.75"/>
    <row r="1643" s="1" customFormat="1" ht="12.75"/>
    <row r="1644" s="1" customFormat="1" ht="12.75"/>
    <row r="1645" s="1" customFormat="1" ht="12.75"/>
    <row r="1646" s="1" customFormat="1" ht="12.75"/>
    <row r="1647" s="1" customFormat="1" ht="12.75"/>
    <row r="1648" s="1" customFormat="1" ht="12.75"/>
    <row r="1649" s="1" customFormat="1" ht="12.75"/>
    <row r="1650" s="1" customFormat="1" ht="12.75"/>
    <row r="1651" s="1" customFormat="1" ht="12.75"/>
    <row r="1652" s="1" customFormat="1" ht="12.75"/>
    <row r="1653" s="1" customFormat="1" ht="12.75"/>
    <row r="1654" s="1" customFormat="1" ht="12.75"/>
    <row r="1655" s="1" customFormat="1" ht="12.75"/>
    <row r="1656" s="1" customFormat="1" ht="12.75"/>
    <row r="1657" s="1" customFormat="1" ht="12.75"/>
    <row r="1658" s="1" customFormat="1" ht="12.75"/>
    <row r="1659" s="1" customFormat="1" ht="12.75"/>
    <row r="1660" s="1" customFormat="1" ht="12.75"/>
    <row r="1661" s="1" customFormat="1" ht="12.75"/>
    <row r="1662" s="1" customFormat="1" ht="12.75"/>
    <row r="1663" s="1" customFormat="1" ht="12.75"/>
    <row r="1664" s="1" customFormat="1" ht="12.75"/>
    <row r="1665" s="1" customFormat="1" ht="12.75"/>
    <row r="1666" s="1" customFormat="1" ht="12.75"/>
    <row r="1667" s="1" customFormat="1" ht="12.75"/>
    <row r="1668" s="1" customFormat="1" ht="12.75"/>
    <row r="1669" s="1" customFormat="1" ht="12.75"/>
    <row r="1670" s="1" customFormat="1" ht="12.75"/>
    <row r="1671" s="1" customFormat="1" ht="12.75"/>
    <row r="1672" s="1" customFormat="1" ht="12.75"/>
    <row r="1673" s="1" customFormat="1" ht="12.75"/>
    <row r="1674" s="1" customFormat="1" ht="12.75"/>
    <row r="1675" s="1" customFormat="1" ht="12.75"/>
    <row r="1676" s="1" customFormat="1" ht="12.75"/>
    <row r="1677" s="1" customFormat="1" ht="12.75"/>
    <row r="1678" s="1" customFormat="1" ht="12.75"/>
    <row r="1679" s="1" customFormat="1" ht="12.75"/>
    <row r="1680" s="1" customFormat="1" ht="12.75"/>
    <row r="1681" s="1" customFormat="1" ht="12.75"/>
    <row r="1682" s="1" customFormat="1" ht="12.75"/>
    <row r="1683" s="1" customFormat="1" ht="12.75"/>
    <row r="1684" s="1" customFormat="1" ht="12.75"/>
    <row r="1685" s="1" customFormat="1" ht="12.75"/>
    <row r="1686" s="1" customFormat="1" ht="12.75"/>
    <row r="1687" s="1" customFormat="1" ht="12.75"/>
    <row r="1688" s="1" customFormat="1" ht="12.75"/>
    <row r="1689" s="1" customFormat="1" ht="12.75"/>
    <row r="1690" s="1" customFormat="1" ht="12.75"/>
    <row r="1691" s="1" customFormat="1" ht="12.75"/>
    <row r="1692" s="1" customFormat="1" ht="12.75"/>
    <row r="1693" s="1" customFormat="1" ht="12.75"/>
    <row r="1694" s="1" customFormat="1" ht="12.75"/>
    <row r="1695" s="1" customFormat="1" ht="12.75"/>
    <row r="1696" s="1" customFormat="1" ht="12.75"/>
    <row r="1697" s="1" customFormat="1" ht="12.75"/>
    <row r="1698" s="1" customFormat="1" ht="12.75"/>
    <row r="1699" s="1" customFormat="1" ht="12.75"/>
    <row r="1700" s="1" customFormat="1" ht="12.75"/>
    <row r="1701" s="1" customFormat="1" ht="12.75"/>
    <row r="1702" s="1" customFormat="1" ht="12.75"/>
    <row r="1703" s="1" customFormat="1" ht="12.75"/>
    <row r="1704" s="1" customFormat="1" ht="12.75"/>
    <row r="1705" s="1" customFormat="1" ht="12.75"/>
    <row r="1706" s="1" customFormat="1" ht="12.75"/>
    <row r="1707" s="1" customFormat="1" ht="12.75"/>
    <row r="1708" s="1" customFormat="1" ht="12.75"/>
    <row r="1709" s="1" customFormat="1" ht="12.75"/>
    <row r="1710" s="1" customFormat="1" ht="12.75"/>
    <row r="1711" s="1" customFormat="1" ht="12.75"/>
    <row r="1712" s="1" customFormat="1" ht="12.75"/>
    <row r="1713" s="1" customFormat="1" ht="12.75"/>
    <row r="1714" s="1" customFormat="1" ht="12.75"/>
    <row r="1715" s="1" customFormat="1" ht="12.75"/>
    <row r="1716" s="1" customFormat="1" ht="12.75"/>
    <row r="1717" s="1" customFormat="1" ht="12.75"/>
    <row r="1718" s="1" customFormat="1" ht="12.75"/>
    <row r="1719" s="1" customFormat="1" ht="12.75"/>
    <row r="1720" s="1" customFormat="1" ht="12.75"/>
    <row r="1721" s="1" customFormat="1" ht="12.75"/>
    <row r="1722" s="1" customFormat="1" ht="12.75"/>
    <row r="1723" s="1" customFormat="1" ht="12.75"/>
    <row r="1724" s="1" customFormat="1" ht="12.75"/>
    <row r="1725" s="1" customFormat="1" ht="12.75"/>
    <row r="1726" s="1" customFormat="1" ht="12.75"/>
    <row r="1727" s="1" customFormat="1" ht="12.75"/>
    <row r="1728" s="1" customFormat="1" ht="12.75"/>
    <row r="1729" s="1" customFormat="1" ht="12.75"/>
    <row r="1730" s="1" customFormat="1" ht="12.75"/>
    <row r="1731" s="1" customFormat="1" ht="12.75"/>
    <row r="1732" s="1" customFormat="1" ht="12.75"/>
    <row r="1733" s="1" customFormat="1" ht="12.75"/>
    <row r="1734" s="1" customFormat="1" ht="12.75"/>
    <row r="1735" s="1" customFormat="1" ht="12.75"/>
    <row r="1736" s="1" customFormat="1" ht="12.75"/>
    <row r="1737" s="1" customFormat="1" ht="12.75"/>
    <row r="1738" s="1" customFormat="1" ht="12.75"/>
    <row r="1739" s="1" customFormat="1" ht="12.75"/>
    <row r="1740" s="1" customFormat="1" ht="12.75"/>
    <row r="1741" s="1" customFormat="1" ht="12.75"/>
    <row r="1742" s="1" customFormat="1" ht="12.75"/>
    <row r="1743" s="1" customFormat="1" ht="12.75"/>
    <row r="1744" s="1" customFormat="1" ht="12.75"/>
    <row r="1745" s="1" customFormat="1" ht="12.75"/>
    <row r="1746" s="1" customFormat="1" ht="12.75"/>
    <row r="1747" s="1" customFormat="1" ht="12.75"/>
    <row r="1748" s="1" customFormat="1" ht="12.75"/>
    <row r="1749" s="1" customFormat="1" ht="12.75"/>
    <row r="1750" s="1" customFormat="1" ht="12.75"/>
    <row r="1751" s="1" customFormat="1" ht="12.75"/>
    <row r="1752" s="1" customFormat="1" ht="12.75"/>
    <row r="1753" s="1" customFormat="1" ht="12.75"/>
    <row r="1754" s="1" customFormat="1" ht="12.75"/>
    <row r="1755" s="1" customFormat="1" ht="12.75"/>
    <row r="1756" s="1" customFormat="1" ht="12.75"/>
    <row r="1757" s="1" customFormat="1" ht="12.75"/>
    <row r="1758" s="1" customFormat="1" ht="12.75"/>
    <row r="1759" s="1" customFormat="1" ht="12.75"/>
    <row r="1760" s="1" customFormat="1" ht="12.75"/>
    <row r="1761" s="1" customFormat="1" ht="12.75"/>
    <row r="1762" s="1" customFormat="1" ht="12.75"/>
    <row r="1763" s="1" customFormat="1" ht="12.75"/>
    <row r="1764" s="1" customFormat="1" ht="12.75"/>
    <row r="1765" s="1" customFormat="1" ht="12.75"/>
    <row r="1766" s="1" customFormat="1" ht="12.75"/>
    <row r="1767" s="1" customFormat="1" ht="12.75"/>
    <row r="1768" s="1" customFormat="1" ht="12.75"/>
    <row r="1769" s="1" customFormat="1" ht="12.75"/>
    <row r="1770" s="1" customFormat="1" ht="12.75"/>
    <row r="1771" s="1" customFormat="1" ht="12.75"/>
    <row r="1772" s="1" customFormat="1" ht="12.75"/>
    <row r="1773" s="1" customFormat="1" ht="12.75"/>
    <row r="1774" s="1" customFormat="1" ht="12.75"/>
    <row r="1775" s="1" customFormat="1" ht="12.75"/>
    <row r="1776" s="1" customFormat="1" ht="12.75"/>
    <row r="1777" s="1" customFormat="1" ht="12.75"/>
    <row r="1778" s="1" customFormat="1" ht="12.75"/>
    <row r="1779" s="1" customFormat="1" ht="12.75"/>
    <row r="1780" s="1" customFormat="1" ht="12.75"/>
    <row r="1781" s="1" customFormat="1" ht="12.75"/>
    <row r="1782" s="1" customFormat="1" ht="12.75"/>
    <row r="1783" s="1" customFormat="1" ht="12.75"/>
    <row r="1784" s="1" customFormat="1" ht="12.75"/>
    <row r="1785" s="1" customFormat="1" ht="12.75"/>
    <row r="1786" s="1" customFormat="1" ht="12.75"/>
    <row r="1787" s="1" customFormat="1" ht="12.75"/>
    <row r="1788" s="1" customFormat="1" ht="12.75"/>
    <row r="1789" s="1" customFormat="1" ht="12.75"/>
    <row r="1790" s="1" customFormat="1" ht="12.75"/>
    <row r="1791" s="1" customFormat="1" ht="12.75"/>
    <row r="1792" s="1" customFormat="1" ht="12.75"/>
    <row r="1793" s="1" customFormat="1" ht="12.75"/>
    <row r="1794" s="1" customFormat="1" ht="12.75"/>
    <row r="1795" s="1" customFormat="1" ht="12.75"/>
    <row r="1796" s="1" customFormat="1" ht="12.75"/>
    <row r="1797" s="1" customFormat="1" ht="12.75"/>
    <row r="1798" s="1" customFormat="1" ht="12.75"/>
    <row r="1799" s="1" customFormat="1" ht="12.75"/>
    <row r="1800" s="1" customFormat="1" ht="12.75"/>
    <row r="1801" s="1" customFormat="1" ht="12.75"/>
    <row r="1802" s="1" customFormat="1" ht="12.75"/>
    <row r="1803" s="1" customFormat="1" ht="12.75"/>
    <row r="1804" s="1" customFormat="1" ht="12.75"/>
    <row r="1805" s="1" customFormat="1" ht="12.75"/>
    <row r="1806" s="1" customFormat="1" ht="12.75"/>
    <row r="1807" s="1" customFormat="1" ht="12.75"/>
    <row r="1808" s="1" customFormat="1" ht="12.75"/>
    <row r="1809" s="1" customFormat="1" ht="12.75"/>
    <row r="1810" s="1" customFormat="1" ht="12.75"/>
    <row r="1811" s="1" customFormat="1" ht="12.75"/>
    <row r="1812" s="1" customFormat="1" ht="12.75"/>
    <row r="1813" s="1" customFormat="1" ht="12.75"/>
    <row r="1814" s="1" customFormat="1" ht="12.75"/>
    <row r="1815" s="1" customFormat="1" ht="12.75"/>
    <row r="1816" s="1" customFormat="1" ht="12.75"/>
    <row r="1817" s="1" customFormat="1" ht="12.75"/>
    <row r="1818" s="1" customFormat="1" ht="12.75"/>
    <row r="1819" s="1" customFormat="1" ht="12.75"/>
    <row r="1820" s="1" customFormat="1" ht="12.75"/>
    <row r="1821" s="1" customFormat="1" ht="12.75"/>
    <row r="1822" s="1" customFormat="1" ht="12.75"/>
    <row r="1823" s="1" customFormat="1" ht="12.75"/>
    <row r="1824" s="1" customFormat="1" ht="12.75"/>
    <row r="1825" s="1" customFormat="1" ht="12.75"/>
    <row r="1826" s="1" customFormat="1" ht="12.75"/>
    <row r="1827" s="1" customFormat="1" ht="12.75"/>
    <row r="1828" s="1" customFormat="1" ht="12.75"/>
    <row r="1829" s="1" customFormat="1" ht="12.75"/>
    <row r="1830" s="1" customFormat="1" ht="12.75"/>
    <row r="1831" s="1" customFormat="1" ht="12.75"/>
    <row r="1832" s="1" customFormat="1" ht="12.75"/>
    <row r="1833" s="1" customFormat="1" ht="12.75"/>
    <row r="1834" s="1" customFormat="1" ht="12.75"/>
    <row r="1835" s="1" customFormat="1" ht="12.75"/>
    <row r="1836" s="1" customFormat="1" ht="12.75"/>
    <row r="1837" s="1" customFormat="1" ht="12.75"/>
    <row r="1838" s="1" customFormat="1" ht="12.75"/>
    <row r="1839" s="1" customFormat="1" ht="12.75"/>
    <row r="1840" s="1" customFormat="1" ht="12.75"/>
    <row r="1841" s="1" customFormat="1" ht="12.75"/>
    <row r="1842" s="1" customFormat="1" ht="12.75"/>
    <row r="1843" s="1" customFormat="1" ht="12.75"/>
    <row r="1844" s="1" customFormat="1" ht="12.75"/>
    <row r="1845" s="1" customFormat="1" ht="12.75"/>
    <row r="1846" s="1" customFormat="1" ht="12.75"/>
    <row r="1847" s="1" customFormat="1" ht="12.75"/>
    <row r="1848" s="1" customFormat="1" ht="12.75"/>
    <row r="1849" s="1" customFormat="1" ht="12.75"/>
    <row r="1850" s="1" customFormat="1" ht="12.75"/>
    <row r="1851" s="1" customFormat="1" ht="12.75"/>
    <row r="1852" s="1" customFormat="1" ht="12.75"/>
    <row r="1853" s="1" customFormat="1" ht="12.75"/>
    <row r="1854" s="1" customFormat="1" ht="12.75"/>
    <row r="1855" s="1" customFormat="1" ht="12.75"/>
    <row r="1856" s="1" customFormat="1" ht="12.75"/>
    <row r="1857" s="1" customFormat="1" ht="12.75"/>
    <row r="1858" s="1" customFormat="1" ht="12.75"/>
    <row r="1859" s="1" customFormat="1" ht="12.75"/>
    <row r="1860" s="1" customFormat="1" ht="12.75"/>
    <row r="1861" s="1" customFormat="1" ht="12.75"/>
    <row r="1862" s="1" customFormat="1" ht="12.75"/>
    <row r="1863" s="1" customFormat="1" ht="12.75"/>
    <row r="1864" s="1" customFormat="1" ht="12.75"/>
    <row r="1865" s="1" customFormat="1" ht="12.75"/>
    <row r="1866" s="1" customFormat="1" ht="12.75"/>
    <row r="1867" s="1" customFormat="1" ht="12.75"/>
    <row r="1868" s="1" customFormat="1" ht="12.75"/>
    <row r="1869" s="1" customFormat="1" ht="12.75"/>
    <row r="1870" s="1" customFormat="1" ht="12.75"/>
    <row r="1871" s="1" customFormat="1" ht="12.75"/>
    <row r="1872" s="1" customFormat="1" ht="12.75"/>
    <row r="1873" s="1" customFormat="1" ht="12.75"/>
    <row r="1874" s="1" customFormat="1" ht="12.75"/>
    <row r="1875" s="1" customFormat="1" ht="12.75"/>
    <row r="1876" s="1" customFormat="1" ht="12.75"/>
    <row r="1877" s="1" customFormat="1" ht="12.75"/>
    <row r="1878" s="1" customFormat="1" ht="12.75"/>
    <row r="1879" s="1" customFormat="1" ht="12.75"/>
    <row r="1880" s="1" customFormat="1" ht="12.75"/>
    <row r="1881" s="1" customFormat="1" ht="12.75"/>
    <row r="1882" s="1" customFormat="1" ht="12.75"/>
    <row r="1883" s="1" customFormat="1" ht="12.75"/>
    <row r="1884" s="1" customFormat="1" ht="12.75"/>
    <row r="1885" s="1" customFormat="1" ht="12.75"/>
    <row r="1886" s="1" customFormat="1" ht="12.75"/>
    <row r="1887" s="1" customFormat="1" ht="12.75"/>
    <row r="1888" s="1" customFormat="1" ht="12.75"/>
    <row r="1889" s="1" customFormat="1" ht="12.75"/>
    <row r="1890" s="1" customFormat="1" ht="12.75"/>
    <row r="1891" s="1" customFormat="1" ht="12.75"/>
    <row r="1892" s="1" customFormat="1" ht="12.75"/>
    <row r="1893" s="1" customFormat="1" ht="12.75"/>
    <row r="1894" s="1" customFormat="1" ht="12.75"/>
    <row r="1895" s="1" customFormat="1" ht="12.75"/>
    <row r="1896" s="1" customFormat="1" ht="12.75"/>
    <row r="1897" s="1" customFormat="1" ht="12.75"/>
    <row r="1898" s="1" customFormat="1" ht="12.75"/>
    <row r="1899" s="1" customFormat="1" ht="12.75"/>
    <row r="1900" s="1" customFormat="1" ht="12.75"/>
    <row r="1901" s="1" customFormat="1" ht="12.75"/>
    <row r="1902" s="1" customFormat="1" ht="12.75"/>
    <row r="1903" s="1" customFormat="1" ht="12.75"/>
    <row r="1904" s="1" customFormat="1" ht="12.75"/>
    <row r="1905" s="1" customFormat="1" ht="12.75"/>
    <row r="1906" s="1" customFormat="1" ht="12.75"/>
    <row r="1907" s="1" customFormat="1" ht="12.75"/>
    <row r="1908" s="1" customFormat="1" ht="12.75"/>
    <row r="1909" s="1" customFormat="1" ht="12.75"/>
    <row r="1910" s="1" customFormat="1" ht="12.75"/>
    <row r="1911" s="1" customFormat="1" ht="12.75"/>
    <row r="1912" s="1" customFormat="1" ht="12.75"/>
    <row r="1913" s="1" customFormat="1" ht="12.75"/>
    <row r="1914" s="1" customFormat="1" ht="12.75"/>
    <row r="1915" s="1" customFormat="1" ht="12.75"/>
    <row r="1916" s="1" customFormat="1" ht="12.75"/>
    <row r="1917" s="1" customFormat="1" ht="12.75"/>
    <row r="1918" s="1" customFormat="1" ht="12.75"/>
    <row r="1919" s="1" customFormat="1" ht="12.75"/>
    <row r="1920" s="1" customFormat="1" ht="12.75"/>
    <row r="1921" s="1" customFormat="1" ht="12.75"/>
    <row r="1922" s="1" customFormat="1" ht="12.75"/>
    <row r="1923" s="1" customFormat="1" ht="12.75"/>
    <row r="1924" s="1" customFormat="1" ht="12.75"/>
    <row r="1925" s="1" customFormat="1" ht="12.75"/>
    <row r="1926" s="1" customFormat="1" ht="12.75"/>
    <row r="1927" s="1" customFormat="1" ht="12.75"/>
    <row r="1928" s="1" customFormat="1" ht="12.75"/>
    <row r="1929" s="1" customFormat="1" ht="12.75"/>
    <row r="1930" s="1" customFormat="1" ht="12.75"/>
    <row r="1931" s="1" customFormat="1" ht="12.75"/>
    <row r="1932" s="1" customFormat="1" ht="12.75"/>
    <row r="1933" s="1" customFormat="1" ht="12.75"/>
    <row r="1934" s="1" customFormat="1" ht="12.75"/>
    <row r="1935" s="1" customFormat="1" ht="12.75"/>
    <row r="1936" s="1" customFormat="1" ht="12.75"/>
    <row r="1937" s="1" customFormat="1" ht="12.75"/>
    <row r="1938" s="1" customFormat="1" ht="12.75"/>
    <row r="1939" s="1" customFormat="1" ht="12.75"/>
    <row r="1940" s="1" customFormat="1" ht="12.75"/>
    <row r="1941" s="1" customFormat="1" ht="12.75"/>
    <row r="1942" s="1" customFormat="1" ht="12.75"/>
    <row r="1943" s="1" customFormat="1" ht="12.75"/>
    <row r="1944" s="1" customFormat="1" ht="12.75"/>
    <row r="1945" s="1" customFormat="1" ht="12.75"/>
    <row r="1946" s="1" customFormat="1" ht="12.75"/>
    <row r="1947" s="1" customFormat="1" ht="12.75"/>
    <row r="1948" s="1" customFormat="1" ht="12.75"/>
    <row r="1949" s="1" customFormat="1" ht="12.75"/>
    <row r="1950" s="1" customFormat="1" ht="12.75"/>
    <row r="1951" s="1" customFormat="1" ht="12.75"/>
    <row r="1952" s="1" customFormat="1" ht="12.75"/>
    <row r="1953" s="1" customFormat="1" ht="12.75"/>
    <row r="1954" s="1" customFormat="1" ht="12.75"/>
    <row r="1955" s="1" customFormat="1" ht="12.75"/>
    <row r="1956" s="1" customFormat="1" ht="12.75"/>
    <row r="1957" s="1" customFormat="1" ht="12.75"/>
    <row r="1958" s="1" customFormat="1" ht="12.75"/>
    <row r="1959" s="1" customFormat="1" ht="12.75"/>
    <row r="1960" s="1" customFormat="1" ht="12.75"/>
    <row r="1961" s="1" customFormat="1" ht="12.75"/>
    <row r="1962" s="1" customFormat="1" ht="12.75"/>
    <row r="1963" s="1" customFormat="1" ht="12.75"/>
    <row r="1964" s="1" customFormat="1" ht="12.75"/>
    <row r="1965" s="1" customFormat="1" ht="12.75"/>
    <row r="1966" s="1" customFormat="1" ht="12.75"/>
    <row r="1967" s="1" customFormat="1" ht="12.75"/>
    <row r="1968" s="1" customFormat="1" ht="12.75"/>
    <row r="1969" s="1" customFormat="1" ht="12.75"/>
  </sheetData>
  <sheetProtection password="CFDD" sheet="1" objects="1" scenarios="1"/>
  <mergeCells count="17">
    <mergeCell ref="A9:C9"/>
    <mergeCell ref="D94:E94"/>
    <mergeCell ref="A14:A15"/>
    <mergeCell ref="B14:B15"/>
    <mergeCell ref="C14:C15"/>
    <mergeCell ref="D14:D15"/>
    <mergeCell ref="A1:E1"/>
    <mergeCell ref="A3:D3"/>
    <mergeCell ref="A5:B5"/>
    <mergeCell ref="A6:C6"/>
    <mergeCell ref="A7:D7"/>
    <mergeCell ref="D99:E99"/>
    <mergeCell ref="D101:E101"/>
    <mergeCell ref="D96:E96"/>
    <mergeCell ref="A11:E11"/>
    <mergeCell ref="A12:E12"/>
    <mergeCell ref="E14:E15"/>
  </mergeCells>
  <phoneticPr fontId="0" type="noConversion"/>
  <dataValidations count="1">
    <dataValidation type="whole" allowBlank="1" showInputMessage="1" showErrorMessage="1" sqref="D58:D89 D17:D56">
      <formula1>-9.9999999E+28</formula1>
      <formula2>9.99999999E+28</formula2>
    </dataValidation>
  </dataValidations>
  <printOptions horizontalCentered="1"/>
  <pageMargins left="0.23622047244094491" right="0.23622047244094491" top="0.35433070866141736" bottom="0.43307086614173229" header="0.51181102362204722" footer="0.43307086614173229"/>
  <pageSetup scale="75" firstPageNumber="0" orientation="portrait" r:id="rId1"/>
  <headerFooter alignWithMargins="0">
    <oddFooter>&amp;C&amp;A&amp;RPage &amp;P</oddFooter>
  </headerFooter>
  <rowBreaks count="4" manualBreakCount="4">
    <brk id="29" max="4" man="1"/>
    <brk id="43" max="4" man="1"/>
    <brk id="67" max="4" man="1"/>
    <brk id="84" max="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8"/>
  <dimension ref="A1:K316"/>
  <sheetViews>
    <sheetView showZeros="0" topLeftCell="A283" workbookViewId="0">
      <selection activeCell="H11" sqref="H11"/>
    </sheetView>
  </sheetViews>
  <sheetFormatPr defaultColWidth="9.140625" defaultRowHeight="18"/>
  <cols>
    <col min="1" max="1" width="6.28515625" style="192" customWidth="1"/>
    <col min="2" max="2" width="61.85546875" style="192" customWidth="1"/>
    <col min="3" max="3" width="9.140625" style="192"/>
    <col min="4" max="4" width="20.5703125" style="193" customWidth="1"/>
    <col min="5" max="5" width="24.5703125" style="193" customWidth="1"/>
    <col min="6" max="7" width="10" style="34" customWidth="1"/>
    <col min="8" max="16384" width="9.140625" style="192"/>
  </cols>
  <sheetData>
    <row r="1" spans="1:11">
      <c r="A1" s="3989" t="str">
        <f>'ANEXA 1'!A1</f>
        <v>CASA  DE  ASIGURĂRI  DE  SĂNĂTATE MEHEDINTI</v>
      </c>
      <c r="B1" s="3989"/>
      <c r="C1" s="3989"/>
      <c r="D1" s="3989"/>
      <c r="E1" s="3989"/>
    </row>
    <row r="2" spans="1:11">
      <c r="B2" s="194"/>
      <c r="E2" s="195" t="s">
        <v>11</v>
      </c>
    </row>
    <row r="3" spans="1:11">
      <c r="B3" s="194"/>
      <c r="D3" s="196"/>
    </row>
    <row r="4" spans="1:11">
      <c r="A4" s="4079" t="s">
        <v>12</v>
      </c>
      <c r="B4" s="4079"/>
      <c r="C4" s="4079"/>
      <c r="D4" s="4079"/>
      <c r="E4" s="4079"/>
    </row>
    <row r="5" spans="1:11">
      <c r="A5" s="4079" t="s">
        <v>2176</v>
      </c>
      <c r="B5" s="4079"/>
      <c r="C5" s="4079"/>
      <c r="D5" s="4079"/>
      <c r="E5" s="4079"/>
    </row>
    <row r="6" spans="1:11" s="2554" customFormat="1" ht="21.6" customHeight="1">
      <c r="A6" s="4081" t="str">
        <f>'ANEXA 1'!A12:E12</f>
        <v>la  data  de  30  IUNIE  2023</v>
      </c>
      <c r="B6" s="4081"/>
      <c r="C6" s="4081"/>
      <c r="D6" s="4081"/>
      <c r="E6" s="4081"/>
      <c r="F6" s="724" t="s">
        <v>13</v>
      </c>
      <c r="G6" s="724"/>
    </row>
    <row r="7" spans="1:11" ht="35.450000000000003" customHeight="1">
      <c r="A7" s="197" t="s">
        <v>14</v>
      </c>
      <c r="B7" s="198"/>
      <c r="C7" s="198"/>
      <c r="D7" s="199"/>
      <c r="E7" s="199" t="s">
        <v>15</v>
      </c>
    </row>
    <row r="8" spans="1:11" ht="27" customHeight="1">
      <c r="A8" s="4082" t="s">
        <v>16</v>
      </c>
      <c r="B8" s="4084" t="s">
        <v>17</v>
      </c>
      <c r="C8" s="4086" t="s">
        <v>89</v>
      </c>
      <c r="D8" s="2550" t="s">
        <v>18</v>
      </c>
      <c r="E8" s="2551" t="s">
        <v>19</v>
      </c>
    </row>
    <row r="9" spans="1:11" ht="27.6" customHeight="1">
      <c r="A9" s="4083"/>
      <c r="B9" s="4085"/>
      <c r="C9" s="4087"/>
      <c r="D9" s="2552" t="s">
        <v>20</v>
      </c>
      <c r="E9" s="2553" t="s">
        <v>21</v>
      </c>
    </row>
    <row r="10" spans="1:11" s="2545" customFormat="1" ht="11.25">
      <c r="A10" s="2546" t="s">
        <v>92</v>
      </c>
      <c r="B10" s="2547" t="s">
        <v>93</v>
      </c>
      <c r="C10" s="2548" t="s">
        <v>94</v>
      </c>
      <c r="D10" s="2549">
        <v>1</v>
      </c>
      <c r="E10" s="2549">
        <v>2</v>
      </c>
      <c r="F10" s="2544"/>
      <c r="G10" s="2544"/>
    </row>
    <row r="11" spans="1:11">
      <c r="A11" s="1475"/>
      <c r="B11" s="1476" t="s">
        <v>22</v>
      </c>
      <c r="C11" s="1477">
        <v>1</v>
      </c>
      <c r="D11" s="1478"/>
      <c r="E11" s="1479"/>
    </row>
    <row r="12" spans="1:11">
      <c r="A12" s="1480"/>
      <c r="B12" s="1410"/>
      <c r="C12" s="1436"/>
      <c r="D12" s="1427"/>
      <c r="E12" s="1481"/>
    </row>
    <row r="13" spans="1:11">
      <c r="A13" s="1482" t="s">
        <v>92</v>
      </c>
      <c r="B13" s="1411" t="s">
        <v>23</v>
      </c>
      <c r="C13" s="1437">
        <v>2</v>
      </c>
      <c r="D13" s="1428"/>
      <c r="E13" s="1483"/>
    </row>
    <row r="14" spans="1:11">
      <c r="A14" s="1482" t="s">
        <v>24</v>
      </c>
      <c r="B14" s="1411" t="s">
        <v>25</v>
      </c>
      <c r="C14" s="1437">
        <v>3</v>
      </c>
      <c r="D14" s="1428"/>
      <c r="E14" s="1483"/>
    </row>
    <row r="15" spans="1:11">
      <c r="A15" s="1480">
        <v>1</v>
      </c>
      <c r="B15" s="1412" t="s">
        <v>26</v>
      </c>
      <c r="C15" s="1438" t="s">
        <v>27</v>
      </c>
      <c r="D15" s="1429">
        <f>+'ANEXA 3'!D23</f>
        <v>0</v>
      </c>
      <c r="E15" s="1481">
        <f>+'SOLDURI BILANT'!E145</f>
        <v>2424</v>
      </c>
      <c r="F15" s="1237" t="str">
        <f>IF(D15&lt;&gt;'ANEXA 3'!D23,"eroare"," ")</f>
        <v xml:space="preserve"> </v>
      </c>
      <c r="G15" s="1237" t="str">
        <f>IF(E15&lt;&gt;'ANEXA 3'!D27,"eroare"," ")</f>
        <v xml:space="preserve"> </v>
      </c>
    </row>
    <row r="16" spans="1:11" ht="158.25">
      <c r="A16" s="1480">
        <v>3</v>
      </c>
      <c r="B16" s="1413" t="s">
        <v>1815</v>
      </c>
      <c r="C16" s="1439" t="s">
        <v>340</v>
      </c>
      <c r="D16" s="3960">
        <v>18581</v>
      </c>
      <c r="E16" s="1481">
        <f>+'SOLDURI BILANT'!E132+'SOLDURI BILANT'!E137+'SOLDURI BILANT'!E138+'SOLDURI BILANT'!E140+'SOLDURI BILANT'!E143+'SOLDURI BILANT'!E153+'SOLDURI BILANT'!E155+'SOLDURI BILANT'!E156+'SOLDURI BILANT'!E157-'SOLDURI BILANT'!F160</f>
        <v>-111544278</v>
      </c>
      <c r="K16" s="193"/>
    </row>
    <row r="17" spans="1:7">
      <c r="A17" s="1480"/>
      <c r="B17" s="1414" t="s">
        <v>28</v>
      </c>
      <c r="C17" s="1439" t="s">
        <v>341</v>
      </c>
      <c r="D17" s="1430"/>
      <c r="E17" s="1484"/>
    </row>
    <row r="18" spans="1:7">
      <c r="A18" s="1480"/>
      <c r="B18" s="1414" t="s">
        <v>29</v>
      </c>
      <c r="C18" s="1439" t="s">
        <v>342</v>
      </c>
      <c r="D18" s="1430"/>
      <c r="E18" s="1481">
        <f>+'SOLDURI BILANT'!E138+'SOLDURI BILANT'!E140</f>
        <v>0</v>
      </c>
    </row>
    <row r="19" spans="1:7">
      <c r="A19" s="1480"/>
      <c r="B19" s="1412" t="s">
        <v>30</v>
      </c>
      <c r="C19" s="1439" t="s">
        <v>343</v>
      </c>
      <c r="D19" s="1429">
        <f>+D15+D16</f>
        <v>18581</v>
      </c>
      <c r="E19" s="1481">
        <f>+E15+E16</f>
        <v>-111541854</v>
      </c>
    </row>
    <row r="20" spans="1:7" ht="42.75">
      <c r="A20" s="1480"/>
      <c r="B20" s="1412" t="s">
        <v>31</v>
      </c>
      <c r="C20" s="1439" t="s">
        <v>344</v>
      </c>
      <c r="D20" s="1430"/>
      <c r="E20" s="1481"/>
    </row>
    <row r="21" spans="1:7">
      <c r="A21" s="1480"/>
      <c r="B21" s="1412" t="s">
        <v>32</v>
      </c>
      <c r="C21" s="1439" t="s">
        <v>345</v>
      </c>
      <c r="D21" s="1429">
        <f>+D19+D20</f>
        <v>18581</v>
      </c>
      <c r="E21" s="1481">
        <f>+E19+E20</f>
        <v>-111541854</v>
      </c>
    </row>
    <row r="22" spans="1:7" ht="42.75">
      <c r="A22" s="1480"/>
      <c r="B22" s="1415" t="s">
        <v>1965</v>
      </c>
      <c r="C22" s="1439" t="s">
        <v>33</v>
      </c>
      <c r="D22" s="1429"/>
      <c r="E22" s="1481"/>
    </row>
    <row r="23" spans="1:7" ht="28.5">
      <c r="A23" s="1480"/>
      <c r="B23" s="1412" t="s">
        <v>433</v>
      </c>
      <c r="C23" s="1439" t="s">
        <v>434</v>
      </c>
      <c r="D23" s="1429"/>
      <c r="E23" s="1481"/>
    </row>
    <row r="24" spans="1:7">
      <c r="A24" s="1480"/>
      <c r="B24" s="1412" t="s">
        <v>435</v>
      </c>
      <c r="C24" s="1439" t="s">
        <v>436</v>
      </c>
      <c r="D24" s="1429">
        <f>D22+D23</f>
        <v>0</v>
      </c>
      <c r="E24" s="1481">
        <f>E22+E23</f>
        <v>0</v>
      </c>
    </row>
    <row r="25" spans="1:7" ht="43.5">
      <c r="A25" s="1480"/>
      <c r="B25" s="1415" t="s">
        <v>437</v>
      </c>
      <c r="C25" s="1439" t="s">
        <v>438</v>
      </c>
      <c r="D25" s="1430"/>
      <c r="E25" s="1484"/>
      <c r="F25" s="3846" t="str">
        <f>IF(D15+D16+D22+D25&lt;&gt;'ANEXA 3'!C23,"eroare"," ")</f>
        <v xml:space="preserve"> </v>
      </c>
      <c r="G25" s="1970" t="str">
        <f>IF(E15+E16+E22+E25&lt;&gt;'ANEXA 3'!C27,"eroare"," ")</f>
        <v xml:space="preserve"> </v>
      </c>
    </row>
    <row r="26" spans="1:7" ht="28.5">
      <c r="A26" s="1480"/>
      <c r="B26" s="1412" t="s">
        <v>439</v>
      </c>
      <c r="C26" s="1439" t="s">
        <v>440</v>
      </c>
      <c r="D26" s="1430"/>
      <c r="E26" s="1484"/>
      <c r="F26" s="200" t="str">
        <f>IF(D19+D22+D25&lt;&gt;'ANEXA 1'!D43,"eroare"," ")</f>
        <v xml:space="preserve"> </v>
      </c>
      <c r="G26" s="200" t="str">
        <f>IF(E19+E22+E25&lt;&gt;'ANEXA 1'!E43,"eroare"," ")</f>
        <v xml:space="preserve"> </v>
      </c>
    </row>
    <row r="27" spans="1:7">
      <c r="A27" s="1480"/>
      <c r="B27" s="1412" t="s">
        <v>441</v>
      </c>
      <c r="C27" s="1439" t="s">
        <v>442</v>
      </c>
      <c r="D27" s="1429">
        <f>D25+D26</f>
        <v>0</v>
      </c>
      <c r="E27" s="1481">
        <f>E25+E26</f>
        <v>0</v>
      </c>
      <c r="F27" s="27"/>
      <c r="G27" s="27"/>
    </row>
    <row r="28" spans="1:7">
      <c r="A28" s="1480"/>
      <c r="B28" s="1412" t="s">
        <v>443</v>
      </c>
      <c r="C28" s="1439" t="s">
        <v>444</v>
      </c>
      <c r="D28" s="1430"/>
      <c r="E28" s="1481">
        <f>+'SOLDURI BILANT'!E152</f>
        <v>0</v>
      </c>
    </row>
    <row r="29" spans="1:7" ht="42.75">
      <c r="A29" s="1480"/>
      <c r="B29" s="1415" t="s">
        <v>445</v>
      </c>
      <c r="C29" s="1439" t="s">
        <v>446</v>
      </c>
      <c r="D29" s="3960">
        <v>10275</v>
      </c>
      <c r="E29" s="1481">
        <f>+'SOLDURI BILANT'!E147+'SOLDURI BILANT'!E148+'SOLDURI BILANT'!E149+'SOLDURI BILANT'!E150+'SOLDURI BILANT'!E151</f>
        <v>4325</v>
      </c>
      <c r="F29" s="1236" t="str">
        <f>IF(D20+D23+D26+D28+D29&lt;&gt;'ANEXA 1'!D44,"eroare"," ")</f>
        <v xml:space="preserve"> </v>
      </c>
      <c r="G29" s="1236" t="str">
        <f>IF(E20+E23+E26+E28+E29&lt;&gt;'ANEXA 1'!E44,"eroare"," ")</f>
        <v xml:space="preserve"> </v>
      </c>
    </row>
    <row r="30" spans="1:7" ht="30">
      <c r="A30" s="1485" t="s">
        <v>447</v>
      </c>
      <c r="B30" s="1411" t="s">
        <v>448</v>
      </c>
      <c r="C30" s="1440">
        <v>25</v>
      </c>
      <c r="D30" s="1428"/>
      <c r="E30" s="1483"/>
      <c r="F30" s="27"/>
      <c r="G30" s="27"/>
    </row>
    <row r="31" spans="1:7">
      <c r="A31" s="1480"/>
      <c r="B31" s="1411" t="s">
        <v>449</v>
      </c>
      <c r="C31" s="1440">
        <v>26</v>
      </c>
      <c r="D31" s="1428"/>
      <c r="E31" s="1483"/>
    </row>
    <row r="32" spans="1:7" ht="96" customHeight="1">
      <c r="A32" s="1486"/>
      <c r="B32" s="1416" t="s">
        <v>450</v>
      </c>
      <c r="C32" s="1441">
        <v>27</v>
      </c>
      <c r="D32" s="3960">
        <v>10531</v>
      </c>
      <c r="E32" s="1481">
        <f>+'SOLDURI BILANT'!E133+'SOLDURI BILANT'!E134+'SOLDURI BILANT'!E139+'SOLDURI BILANT'!E154+'SOLDURI BILANT'!E136</f>
        <v>12381</v>
      </c>
    </row>
    <row r="33" spans="1:7">
      <c r="A33" s="1486"/>
      <c r="B33" s="1412" t="s">
        <v>28</v>
      </c>
      <c r="C33" s="1441">
        <v>28</v>
      </c>
      <c r="D33" s="1430"/>
      <c r="E33" s="1484"/>
    </row>
    <row r="34" spans="1:7">
      <c r="A34" s="1486"/>
      <c r="B34" s="1414" t="s">
        <v>29</v>
      </c>
      <c r="C34" s="1441">
        <v>29</v>
      </c>
      <c r="D34" s="1430"/>
      <c r="E34" s="1484"/>
    </row>
    <row r="35" spans="1:7">
      <c r="A35" s="1486"/>
      <c r="B35" s="1412" t="s">
        <v>451</v>
      </c>
      <c r="C35" s="1441">
        <v>30</v>
      </c>
      <c r="D35" s="1429">
        <f>+'COD 04 (2)'!D24</f>
        <v>0</v>
      </c>
      <c r="E35" s="1481">
        <f>+'SOLDURI BILANT'!E146</f>
        <v>0</v>
      </c>
      <c r="F35" s="1237" t="str">
        <f>IF(D35&lt;&gt;'COD 04'!D24,"eroare"," ")</f>
        <v xml:space="preserve"> </v>
      </c>
      <c r="G35" s="1237" t="str">
        <f>IF(E35&lt;&gt;'COD 04'!D27,"eroare"," ")</f>
        <v xml:space="preserve"> </v>
      </c>
    </row>
    <row r="36" spans="1:7" ht="18.75" thickBot="1">
      <c r="A36" s="1487"/>
      <c r="B36" s="1444" t="s">
        <v>452</v>
      </c>
      <c r="C36" s="1443">
        <v>31</v>
      </c>
      <c r="D36" s="1435">
        <f>+D32+D35</f>
        <v>10531</v>
      </c>
      <c r="E36" s="1488">
        <f>+E32+E35</f>
        <v>12381</v>
      </c>
    </row>
    <row r="37" spans="1:7" ht="45.75" customHeight="1">
      <c r="A37" s="1489"/>
      <c r="B37" s="1445" t="s">
        <v>453</v>
      </c>
      <c r="C37" s="1446">
        <v>32</v>
      </c>
      <c r="D37" s="1447"/>
      <c r="E37" s="1490"/>
    </row>
    <row r="38" spans="1:7" ht="18.75" customHeight="1">
      <c r="A38" s="1486"/>
      <c r="B38" s="1412" t="s">
        <v>454</v>
      </c>
      <c r="C38" s="1441">
        <v>33</v>
      </c>
      <c r="D38" s="1429">
        <f>+D36+D37</f>
        <v>10531</v>
      </c>
      <c r="E38" s="1481">
        <f>+E36+E37</f>
        <v>12381</v>
      </c>
    </row>
    <row r="39" spans="1:7" ht="32.25" customHeight="1">
      <c r="A39" s="1486"/>
      <c r="B39" s="1412" t="s">
        <v>455</v>
      </c>
      <c r="C39" s="1441">
        <v>34</v>
      </c>
      <c r="D39" s="1430"/>
      <c r="E39" s="1484"/>
    </row>
    <row r="40" spans="1:7" ht="28.5">
      <c r="A40" s="1480"/>
      <c r="B40" s="1412" t="s">
        <v>456</v>
      </c>
      <c r="C40" s="1441">
        <v>35</v>
      </c>
      <c r="D40" s="1430"/>
      <c r="E40" s="1484"/>
    </row>
    <row r="41" spans="1:7" ht="18.75" customHeight="1">
      <c r="A41" s="1480"/>
      <c r="B41" s="1412" t="s">
        <v>457</v>
      </c>
      <c r="C41" s="1441">
        <v>36</v>
      </c>
      <c r="D41" s="1429">
        <f>D39+D40</f>
        <v>0</v>
      </c>
      <c r="E41" s="1481">
        <f>E39+E40</f>
        <v>0</v>
      </c>
      <c r="F41" s="27"/>
      <c r="G41" s="27"/>
    </row>
    <row r="42" spans="1:7">
      <c r="A42" s="1480"/>
      <c r="B42" s="1411" t="s">
        <v>458</v>
      </c>
      <c r="C42" s="1437">
        <v>45</v>
      </c>
      <c r="D42" s="1428"/>
      <c r="E42" s="1483"/>
    </row>
    <row r="43" spans="1:7" ht="28.5">
      <c r="A43" s="1486">
        <v>1</v>
      </c>
      <c r="B43" s="1416" t="s">
        <v>459</v>
      </c>
      <c r="C43" s="1441">
        <v>46</v>
      </c>
      <c r="D43" s="1430"/>
      <c r="E43" s="1481">
        <f>+'SOLDURI BILANT'!E43+'SOLDURI BILANT'!E45</f>
        <v>0</v>
      </c>
      <c r="F43" s="27"/>
      <c r="G43" s="27"/>
    </row>
    <row r="44" spans="1:7">
      <c r="A44" s="1486">
        <v>5</v>
      </c>
      <c r="B44" s="1412" t="s">
        <v>460</v>
      </c>
      <c r="C44" s="1441">
        <v>47</v>
      </c>
      <c r="D44" s="1429">
        <f>+D43</f>
        <v>0</v>
      </c>
      <c r="E44" s="1481">
        <f>+E43</f>
        <v>0</v>
      </c>
      <c r="F44" s="200" t="str">
        <f>IF(D44&lt;&gt;'ANEXA 1'!D23,"eroare"," ")</f>
        <v xml:space="preserve"> </v>
      </c>
      <c r="G44" s="200" t="str">
        <f>IF(E44&lt;&gt;'ANEXA 1'!E23,"eroare"," ")</f>
        <v xml:space="preserve"> </v>
      </c>
    </row>
    <row r="45" spans="1:7">
      <c r="A45" s="1482" t="s">
        <v>461</v>
      </c>
      <c r="B45" s="1417" t="s">
        <v>462</v>
      </c>
      <c r="C45" s="1440">
        <v>55</v>
      </c>
      <c r="D45" s="1428"/>
      <c r="E45" s="1483"/>
    </row>
    <row r="46" spans="1:7">
      <c r="A46" s="1480"/>
      <c r="B46" s="1417" t="s">
        <v>463</v>
      </c>
      <c r="C46" s="1440">
        <v>56</v>
      </c>
      <c r="D46" s="1428"/>
      <c r="E46" s="1483"/>
    </row>
    <row r="47" spans="1:7" ht="28.5">
      <c r="A47" s="1486"/>
      <c r="B47" s="1412" t="s">
        <v>464</v>
      </c>
      <c r="C47" s="1441">
        <v>57</v>
      </c>
      <c r="D47" s="1430"/>
      <c r="E47" s="1484"/>
      <c r="F47" s="27"/>
      <c r="G47" s="27"/>
    </row>
    <row r="48" spans="1:7" ht="28.5">
      <c r="A48" s="1486"/>
      <c r="B48" s="1412" t="s">
        <v>465</v>
      </c>
      <c r="C48" s="1441">
        <v>58</v>
      </c>
      <c r="D48" s="1430"/>
      <c r="E48" s="1484"/>
      <c r="F48" s="27"/>
      <c r="G48" s="27"/>
    </row>
    <row r="49" spans="1:7">
      <c r="A49" s="1486"/>
      <c r="B49" s="1412" t="s">
        <v>466</v>
      </c>
      <c r="C49" s="1441">
        <v>59</v>
      </c>
      <c r="D49" s="1429">
        <f>D47+D48</f>
        <v>0</v>
      </c>
      <c r="E49" s="1481">
        <f>E47+E48</f>
        <v>0</v>
      </c>
    </row>
    <row r="50" spans="1:7">
      <c r="A50" s="1486"/>
      <c r="B50" s="1412" t="s">
        <v>467</v>
      </c>
      <c r="C50" s="1441">
        <v>60</v>
      </c>
      <c r="D50" s="1430"/>
      <c r="E50" s="1484"/>
      <c r="F50" s="27"/>
      <c r="G50" s="27"/>
    </row>
    <row r="51" spans="1:7">
      <c r="A51" s="1486"/>
      <c r="B51" s="1412" t="s">
        <v>468</v>
      </c>
      <c r="C51" s="1441">
        <v>61</v>
      </c>
      <c r="D51" s="1430"/>
      <c r="E51" s="1484"/>
      <c r="F51" s="200" t="str">
        <f>IF(D36+D39+D47+D51&lt;&gt;'ANEXA 1'!D46,"eroare"," ")</f>
        <v xml:space="preserve"> </v>
      </c>
      <c r="G51" s="200" t="str">
        <f>IF(E36+E39+E47+E51&lt;&gt;'ANEXA 1'!E46,"eroare"," ")</f>
        <v xml:space="preserve"> </v>
      </c>
    </row>
    <row r="52" spans="1:7" ht="15" customHeight="1">
      <c r="A52" s="1486"/>
      <c r="B52" s="1412"/>
      <c r="C52" s="1441"/>
      <c r="D52" s="1429"/>
      <c r="E52" s="1481"/>
      <c r="F52" s="27"/>
      <c r="G52" s="27"/>
    </row>
    <row r="53" spans="1:7">
      <c r="A53" s="1482" t="s">
        <v>93</v>
      </c>
      <c r="B53" s="1411" t="s">
        <v>469</v>
      </c>
      <c r="C53" s="1440">
        <v>70</v>
      </c>
      <c r="D53" s="1428"/>
      <c r="E53" s="1483"/>
      <c r="F53" s="200" t="str">
        <f>IF(D37+D40+D48+D50&lt;&gt;'ANEXA 1'!D47,"eroare"," ")</f>
        <v xml:space="preserve"> </v>
      </c>
      <c r="G53" s="200" t="str">
        <f>IF(E37+E40+E48+E50&lt;&gt;'ANEXA 1'!E47,"eroare"," ")</f>
        <v xml:space="preserve"> </v>
      </c>
    </row>
    <row r="54" spans="1:7" ht="28.5">
      <c r="A54" s="1480"/>
      <c r="B54" s="1412" t="s">
        <v>470</v>
      </c>
      <c r="C54" s="1440">
        <v>71</v>
      </c>
      <c r="D54" s="1428"/>
      <c r="E54" s="1483"/>
    </row>
    <row r="55" spans="1:7" ht="30">
      <c r="A55" s="1485" t="s">
        <v>471</v>
      </c>
      <c r="B55" s="1417" t="s">
        <v>472</v>
      </c>
      <c r="C55" s="1440">
        <v>72</v>
      </c>
      <c r="D55" s="1431"/>
      <c r="E55" s="1483"/>
      <c r="F55" s="201"/>
    </row>
    <row r="56" spans="1:7" ht="42.75">
      <c r="A56" s="1486"/>
      <c r="B56" s="1416" t="s">
        <v>473</v>
      </c>
      <c r="C56" s="1441">
        <v>73</v>
      </c>
      <c r="D56" s="1429">
        <f>D57+D58+D59+D60+D61</f>
        <v>0</v>
      </c>
      <c r="E56" s="1481">
        <f>E57+E58+E59+E60+E61</f>
        <v>0</v>
      </c>
    </row>
    <row r="57" spans="1:7">
      <c r="A57" s="1480"/>
      <c r="B57" s="1412" t="s">
        <v>474</v>
      </c>
      <c r="C57" s="1441">
        <v>74</v>
      </c>
      <c r="D57" s="1430"/>
      <c r="E57" s="1491"/>
    </row>
    <row r="58" spans="1:7" ht="28.5">
      <c r="A58" s="1480"/>
      <c r="B58" s="1412" t="s">
        <v>475</v>
      </c>
      <c r="C58" s="1441">
        <v>75</v>
      </c>
      <c r="D58" s="1430"/>
      <c r="E58" s="1491"/>
    </row>
    <row r="59" spans="1:7" ht="42.75">
      <c r="A59" s="1480"/>
      <c r="B59" s="1412" t="s">
        <v>476</v>
      </c>
      <c r="C59" s="1441">
        <v>76</v>
      </c>
      <c r="D59" s="1430"/>
      <c r="E59" s="1491"/>
    </row>
    <row r="60" spans="1:7" ht="42.75">
      <c r="A60" s="1480"/>
      <c r="B60" s="1412" t="s">
        <v>477</v>
      </c>
      <c r="C60" s="1441">
        <v>77</v>
      </c>
      <c r="D60" s="1430"/>
      <c r="E60" s="1484"/>
    </row>
    <row r="61" spans="1:7">
      <c r="A61" s="1480"/>
      <c r="B61" s="1412" t="s">
        <v>478</v>
      </c>
      <c r="C61" s="1441">
        <v>78</v>
      </c>
      <c r="D61" s="1430"/>
      <c r="E61" s="1484"/>
    </row>
    <row r="62" spans="1:7">
      <c r="A62" s="1482" t="s">
        <v>479</v>
      </c>
      <c r="B62" s="1411" t="s">
        <v>480</v>
      </c>
      <c r="C62" s="1441">
        <v>79</v>
      </c>
      <c r="D62" s="1429">
        <f>D56</f>
        <v>0</v>
      </c>
      <c r="E62" s="1481">
        <f>E56</f>
        <v>0</v>
      </c>
    </row>
    <row r="63" spans="1:7">
      <c r="A63" s="1482" t="s">
        <v>94</v>
      </c>
      <c r="B63" s="1411" t="s">
        <v>481</v>
      </c>
      <c r="C63" s="1437">
        <v>90</v>
      </c>
      <c r="D63" s="1428"/>
      <c r="E63" s="1483"/>
    </row>
    <row r="64" spans="1:7">
      <c r="A64" s="1482" t="s">
        <v>482</v>
      </c>
      <c r="B64" s="1417" t="s">
        <v>483</v>
      </c>
      <c r="C64" s="1437">
        <v>91</v>
      </c>
      <c r="D64" s="1428"/>
      <c r="E64" s="1483"/>
    </row>
    <row r="65" spans="1:5" s="192" customFormat="1" ht="42.75">
      <c r="A65" s="1482"/>
      <c r="B65" s="1412" t="s">
        <v>484</v>
      </c>
      <c r="C65" s="1441">
        <v>92</v>
      </c>
      <c r="D65" s="1430"/>
      <c r="E65" s="1484"/>
    </row>
    <row r="66" spans="1:5" s="192" customFormat="1" ht="43.5">
      <c r="A66" s="1486"/>
      <c r="B66" s="1416" t="s">
        <v>485</v>
      </c>
      <c r="C66" s="1441">
        <v>93</v>
      </c>
      <c r="D66" s="1429">
        <f>D67+D68</f>
        <v>0</v>
      </c>
      <c r="E66" s="1481">
        <f>E67+E68</f>
        <v>0</v>
      </c>
    </row>
    <row r="67" spans="1:5" s="192" customFormat="1" ht="15">
      <c r="A67" s="1486"/>
      <c r="B67" s="1412" t="s">
        <v>486</v>
      </c>
      <c r="C67" s="1441">
        <v>94</v>
      </c>
      <c r="D67" s="1430"/>
      <c r="E67" s="1484"/>
    </row>
    <row r="68" spans="1:5" s="192" customFormat="1" ht="15">
      <c r="A68" s="1486"/>
      <c r="B68" s="1412" t="s">
        <v>478</v>
      </c>
      <c r="C68" s="1441">
        <v>95</v>
      </c>
      <c r="D68" s="1430"/>
      <c r="E68" s="1484"/>
    </row>
    <row r="69" spans="1:5" s="192" customFormat="1" ht="15">
      <c r="A69" s="1486"/>
      <c r="B69" s="1412" t="s">
        <v>487</v>
      </c>
      <c r="C69" s="1441">
        <v>96</v>
      </c>
      <c r="D69" s="1429">
        <f>D65+D66</f>
        <v>0</v>
      </c>
      <c r="E69" s="1481">
        <f>E65+E66</f>
        <v>0</v>
      </c>
    </row>
    <row r="70" spans="1:5" s="192" customFormat="1" ht="57">
      <c r="A70" s="1486"/>
      <c r="B70" s="1416" t="s">
        <v>488</v>
      </c>
      <c r="C70" s="1441">
        <v>97</v>
      </c>
      <c r="D70" s="1429">
        <f>D71+D72</f>
        <v>0</v>
      </c>
      <c r="E70" s="1481">
        <f>E71+E72</f>
        <v>0</v>
      </c>
    </row>
    <row r="71" spans="1:5" s="192" customFormat="1" ht="15">
      <c r="A71" s="1486"/>
      <c r="B71" s="1412" t="s">
        <v>486</v>
      </c>
      <c r="C71" s="1441">
        <v>98</v>
      </c>
      <c r="D71" s="1430"/>
      <c r="E71" s="1484"/>
    </row>
    <row r="72" spans="1:5" s="192" customFormat="1" ht="15">
      <c r="A72" s="1486"/>
      <c r="B72" s="1412" t="s">
        <v>478</v>
      </c>
      <c r="C72" s="1441">
        <v>99</v>
      </c>
      <c r="D72" s="1430"/>
      <c r="E72" s="1484"/>
    </row>
    <row r="73" spans="1:5" s="192" customFormat="1" ht="15.75" thickBot="1">
      <c r="A73" s="1492" t="s">
        <v>479</v>
      </c>
      <c r="B73" s="1426" t="s">
        <v>489</v>
      </c>
      <c r="C73" s="1443">
        <v>100</v>
      </c>
      <c r="D73" s="1435">
        <f>D69+D70</f>
        <v>0</v>
      </c>
      <c r="E73" s="1488">
        <f>E69+E70</f>
        <v>0</v>
      </c>
    </row>
    <row r="74" spans="1:5" s="192" customFormat="1" ht="15.75">
      <c r="A74" s="1493" t="s">
        <v>490</v>
      </c>
      <c r="B74" s="1448" t="s">
        <v>491</v>
      </c>
      <c r="C74" s="1449">
        <v>110</v>
      </c>
      <c r="D74" s="1450"/>
      <c r="E74" s="1494"/>
    </row>
    <row r="75" spans="1:5" s="192" customFormat="1" ht="42.75">
      <c r="A75" s="1486"/>
      <c r="B75" s="1416" t="s">
        <v>492</v>
      </c>
      <c r="C75" s="1441">
        <v>111</v>
      </c>
      <c r="D75" s="1429">
        <f>D76+D77</f>
        <v>0</v>
      </c>
      <c r="E75" s="1481">
        <f>E76+E77</f>
        <v>0</v>
      </c>
    </row>
    <row r="76" spans="1:5" s="192" customFormat="1" ht="15">
      <c r="A76" s="1486"/>
      <c r="B76" s="1412" t="s">
        <v>486</v>
      </c>
      <c r="C76" s="1441">
        <v>112</v>
      </c>
      <c r="D76" s="1430"/>
      <c r="E76" s="1484"/>
    </row>
    <row r="77" spans="1:5" s="192" customFormat="1" ht="15">
      <c r="A77" s="1486"/>
      <c r="B77" s="1412" t="s">
        <v>478</v>
      </c>
      <c r="C77" s="1441">
        <v>113</v>
      </c>
      <c r="D77" s="1430"/>
      <c r="E77" s="1484"/>
    </row>
    <row r="78" spans="1:5" s="192" customFormat="1" ht="15">
      <c r="A78" s="1486"/>
      <c r="B78" s="1412" t="s">
        <v>493</v>
      </c>
      <c r="C78" s="1441">
        <v>114</v>
      </c>
      <c r="D78" s="1429">
        <f>D75</f>
        <v>0</v>
      </c>
      <c r="E78" s="1481">
        <f>E75</f>
        <v>0</v>
      </c>
    </row>
    <row r="79" spans="1:5" s="192" customFormat="1" ht="54.75" customHeight="1">
      <c r="A79" s="1486"/>
      <c r="B79" s="1416" t="s">
        <v>494</v>
      </c>
      <c r="C79" s="1441">
        <v>115</v>
      </c>
      <c r="D79" s="1429">
        <f>D80+D81</f>
        <v>0</v>
      </c>
      <c r="E79" s="1481">
        <f>E80+E81</f>
        <v>0</v>
      </c>
    </row>
    <row r="80" spans="1:5" s="192" customFormat="1" ht="15">
      <c r="A80" s="1486"/>
      <c r="B80" s="1412" t="s">
        <v>486</v>
      </c>
      <c r="C80" s="1441">
        <v>116</v>
      </c>
      <c r="D80" s="1430"/>
      <c r="E80" s="1484"/>
    </row>
    <row r="81" spans="1:5" s="192" customFormat="1" ht="15">
      <c r="A81" s="1486"/>
      <c r="B81" s="1412" t="s">
        <v>478</v>
      </c>
      <c r="C81" s="1441">
        <v>117</v>
      </c>
      <c r="D81" s="1430"/>
      <c r="E81" s="1484"/>
    </row>
    <row r="82" spans="1:5" s="192" customFormat="1" ht="15">
      <c r="A82" s="1480"/>
      <c r="B82" s="1411" t="s">
        <v>495</v>
      </c>
      <c r="C82" s="1441">
        <v>118</v>
      </c>
      <c r="D82" s="1429">
        <f>D78+D79</f>
        <v>0</v>
      </c>
      <c r="E82" s="1481">
        <f>E78+E79</f>
        <v>0</v>
      </c>
    </row>
    <row r="83" spans="1:5" s="192" customFormat="1" ht="15.75">
      <c r="A83" s="1482" t="s">
        <v>316</v>
      </c>
      <c r="B83" s="1411" t="s">
        <v>496</v>
      </c>
      <c r="C83" s="1440">
        <v>130</v>
      </c>
      <c r="D83" s="1428"/>
      <c r="E83" s="1483"/>
    </row>
    <row r="84" spans="1:5" s="192" customFormat="1" ht="33" customHeight="1">
      <c r="A84" s="1480"/>
      <c r="B84" s="1417" t="s">
        <v>2150</v>
      </c>
      <c r="C84" s="1440">
        <v>131</v>
      </c>
      <c r="D84" s="1428"/>
      <c r="E84" s="1483"/>
    </row>
    <row r="85" spans="1:5" s="192" customFormat="1" ht="45">
      <c r="A85" s="1485" t="s">
        <v>497</v>
      </c>
      <c r="B85" s="1417" t="s">
        <v>498</v>
      </c>
      <c r="C85" s="1440">
        <v>132</v>
      </c>
      <c r="D85" s="1428"/>
      <c r="E85" s="1483"/>
    </row>
    <row r="86" spans="1:5" s="192" customFormat="1" ht="28.5">
      <c r="A86" s="1486"/>
      <c r="B86" s="1416" t="s">
        <v>499</v>
      </c>
      <c r="C86" s="1441">
        <v>133</v>
      </c>
      <c r="D86" s="1430"/>
      <c r="E86" s="1484"/>
    </row>
    <row r="87" spans="1:5" s="192" customFormat="1" ht="42.75">
      <c r="A87" s="1486"/>
      <c r="B87" s="1416" t="s">
        <v>500</v>
      </c>
      <c r="C87" s="1441">
        <v>134</v>
      </c>
      <c r="D87" s="1430"/>
      <c r="E87" s="1484"/>
    </row>
    <row r="88" spans="1:5" s="192" customFormat="1" ht="42.75">
      <c r="A88" s="1486"/>
      <c r="B88" s="1416" t="s">
        <v>501</v>
      </c>
      <c r="C88" s="1441">
        <v>135</v>
      </c>
      <c r="D88" s="1430"/>
      <c r="E88" s="1484"/>
    </row>
    <row r="89" spans="1:5" s="192" customFormat="1" ht="43.5">
      <c r="A89" s="1485"/>
      <c r="B89" s="1411" t="s">
        <v>502</v>
      </c>
      <c r="C89" s="1441">
        <v>136</v>
      </c>
      <c r="D89" s="1429">
        <f>D86+D87+D88</f>
        <v>0</v>
      </c>
      <c r="E89" s="1481">
        <f>E86+E87+E88</f>
        <v>0</v>
      </c>
    </row>
    <row r="90" spans="1:5" s="192" customFormat="1" ht="45">
      <c r="A90" s="1485" t="s">
        <v>503</v>
      </c>
      <c r="B90" s="1417" t="s">
        <v>504</v>
      </c>
      <c r="C90" s="1440">
        <v>140</v>
      </c>
      <c r="D90" s="1428"/>
      <c r="E90" s="1483"/>
    </row>
    <row r="91" spans="1:5" s="192" customFormat="1" ht="28.5">
      <c r="A91" s="1486"/>
      <c r="B91" s="1416" t="s">
        <v>505</v>
      </c>
      <c r="C91" s="1441">
        <v>141</v>
      </c>
      <c r="D91" s="1430"/>
      <c r="E91" s="1484"/>
    </row>
    <row r="92" spans="1:5" s="192" customFormat="1" ht="44.25" customHeight="1">
      <c r="A92" s="1486"/>
      <c r="B92" s="1416" t="s">
        <v>506</v>
      </c>
      <c r="C92" s="1441">
        <v>142</v>
      </c>
      <c r="D92" s="1430"/>
      <c r="E92" s="1484"/>
    </row>
    <row r="93" spans="1:5" s="192" customFormat="1" ht="42.75">
      <c r="A93" s="1486"/>
      <c r="B93" s="1416" t="s">
        <v>507</v>
      </c>
      <c r="C93" s="1441">
        <v>143</v>
      </c>
      <c r="D93" s="1430"/>
      <c r="E93" s="1484"/>
    </row>
    <row r="94" spans="1:5" s="192" customFormat="1" ht="42.75" customHeight="1">
      <c r="A94" s="1480"/>
      <c r="B94" s="1411" t="s">
        <v>508</v>
      </c>
      <c r="C94" s="1441">
        <v>144</v>
      </c>
      <c r="D94" s="1429">
        <f>D91+D92+D93</f>
        <v>0</v>
      </c>
      <c r="E94" s="1481">
        <f>E91+E92+E93</f>
        <v>0</v>
      </c>
    </row>
    <row r="95" spans="1:5" s="192" customFormat="1" ht="15.75">
      <c r="A95" s="1482" t="s">
        <v>509</v>
      </c>
      <c r="B95" s="1417" t="s">
        <v>510</v>
      </c>
      <c r="C95" s="1440">
        <v>150</v>
      </c>
      <c r="D95" s="1432"/>
      <c r="E95" s="1483"/>
    </row>
    <row r="96" spans="1:5" s="192" customFormat="1" ht="42.75">
      <c r="A96" s="1486" t="s">
        <v>511</v>
      </c>
      <c r="B96" s="1416" t="s">
        <v>512</v>
      </c>
      <c r="C96" s="1441">
        <v>151</v>
      </c>
      <c r="D96" s="1430"/>
      <c r="E96" s="1484"/>
    </row>
    <row r="97" spans="1:9" ht="29.25">
      <c r="A97" s="1485"/>
      <c r="B97" s="1411" t="s">
        <v>513</v>
      </c>
      <c r="C97" s="1441">
        <v>152</v>
      </c>
      <c r="D97" s="1429">
        <f>D96</f>
        <v>0</v>
      </c>
      <c r="E97" s="1481">
        <f>E96</f>
        <v>0</v>
      </c>
      <c r="F97" s="200" t="str">
        <f>IF(D89+D94+D97&lt;&gt;'ANEXA 1'!D24,"eroare"," ")</f>
        <v xml:space="preserve"> </v>
      </c>
      <c r="G97" s="200" t="str">
        <f>IF(E89+E94+E97&lt;&gt;'ANEXA 1'!E24,"eroare"," ")</f>
        <v xml:space="preserve"> </v>
      </c>
    </row>
    <row r="98" spans="1:9">
      <c r="A98" s="1482" t="s">
        <v>514</v>
      </c>
      <c r="B98" s="1411" t="s">
        <v>515</v>
      </c>
      <c r="C98" s="1440">
        <v>160</v>
      </c>
      <c r="D98" s="1428"/>
      <c r="E98" s="1483"/>
      <c r="F98" s="27"/>
      <c r="G98" s="27"/>
    </row>
    <row r="99" spans="1:9">
      <c r="A99" s="1482" t="s">
        <v>516</v>
      </c>
      <c r="B99" s="1417" t="s">
        <v>517</v>
      </c>
      <c r="C99" s="1440">
        <v>161</v>
      </c>
      <c r="D99" s="1428"/>
      <c r="E99" s="1483"/>
    </row>
    <row r="100" spans="1:9" ht="57.75">
      <c r="A100" s="1480">
        <v>1</v>
      </c>
      <c r="B100" s="1415" t="s">
        <v>518</v>
      </c>
      <c r="C100" s="1441">
        <v>162</v>
      </c>
      <c r="D100" s="1429">
        <f>D101+D102+D103+D109</f>
        <v>517254</v>
      </c>
      <c r="E100" s="1481">
        <f>E101+E102+E103+E109</f>
        <v>444095</v>
      </c>
      <c r="F100" s="200" t="str">
        <f>IF(D100&lt;&gt;'ANEXA 1'!D26,"eroare"," ")</f>
        <v xml:space="preserve"> </v>
      </c>
      <c r="G100" s="200" t="str">
        <f>IF(E100&lt;&gt;'ANEXA 1'!E26,"eroare"," ")</f>
        <v xml:space="preserve"> </v>
      </c>
    </row>
    <row r="101" spans="1:9">
      <c r="A101" s="1480"/>
      <c r="B101" s="1412" t="s">
        <v>519</v>
      </c>
      <c r="C101" s="1441">
        <v>163</v>
      </c>
      <c r="D101" s="1430"/>
      <c r="E101" s="1484"/>
    </row>
    <row r="102" spans="1:9">
      <c r="A102" s="1480"/>
      <c r="B102" s="1412" t="s">
        <v>520</v>
      </c>
      <c r="C102" s="1441">
        <v>164</v>
      </c>
      <c r="D102" s="1430"/>
      <c r="E102" s="1484"/>
    </row>
    <row r="103" spans="1:9">
      <c r="A103" s="1480"/>
      <c r="B103" s="1412" t="s">
        <v>521</v>
      </c>
      <c r="C103" s="1441">
        <v>165</v>
      </c>
      <c r="D103" s="1429">
        <f>+D104+D105+D106</f>
        <v>197697</v>
      </c>
      <c r="E103" s="1481">
        <f>+E104+E105+E106</f>
        <v>151998</v>
      </c>
    </row>
    <row r="104" spans="1:9" ht="28.5">
      <c r="A104" s="1480"/>
      <c r="B104" s="1412" t="s">
        <v>522</v>
      </c>
      <c r="C104" s="1441">
        <v>166</v>
      </c>
      <c r="D104" s="1430"/>
      <c r="E104" s="1484"/>
    </row>
    <row r="105" spans="1:9" ht="28.5">
      <c r="A105" s="1480"/>
      <c r="B105" s="1412" t="s">
        <v>523</v>
      </c>
      <c r="C105" s="1441">
        <v>167</v>
      </c>
      <c r="D105" s="3961">
        <v>197697</v>
      </c>
      <c r="E105" s="1484">
        <v>151998</v>
      </c>
    </row>
    <row r="106" spans="1:9" ht="18.75" thickBot="1">
      <c r="A106" s="1492"/>
      <c r="B106" s="1444" t="s">
        <v>524</v>
      </c>
      <c r="C106" s="1443">
        <f>C105+1</f>
        <v>168</v>
      </c>
      <c r="D106" s="1451"/>
      <c r="E106" s="1495"/>
    </row>
    <row r="107" spans="1:9" ht="42.75">
      <c r="A107" s="1496"/>
      <c r="B107" s="1445" t="s">
        <v>525</v>
      </c>
      <c r="C107" s="1446" t="s">
        <v>526</v>
      </c>
      <c r="D107" s="1447"/>
      <c r="E107" s="1490"/>
    </row>
    <row r="108" spans="1:9" ht="28.5">
      <c r="A108" s="1480"/>
      <c r="B108" s="1412" t="s">
        <v>527</v>
      </c>
      <c r="C108" s="1441" t="s">
        <v>528</v>
      </c>
      <c r="D108" s="1430">
        <v>197697</v>
      </c>
      <c r="E108" s="1484">
        <v>151998</v>
      </c>
      <c r="G108" s="2031" t="str">
        <f>IF(E108=0,"EROARE"," ")</f>
        <v xml:space="preserve"> </v>
      </c>
    </row>
    <row r="109" spans="1:9" ht="42.75">
      <c r="A109" s="1480"/>
      <c r="B109" s="1412" t="s">
        <v>529</v>
      </c>
      <c r="C109" s="1441">
        <v>169</v>
      </c>
      <c r="D109" s="3961">
        <v>319557</v>
      </c>
      <c r="E109" s="1484">
        <v>292097</v>
      </c>
      <c r="G109" s="2031" t="str">
        <f>IF(E109=0,"EROARE"," ")</f>
        <v xml:space="preserve"> </v>
      </c>
    </row>
    <row r="110" spans="1:9" ht="72">
      <c r="A110" s="1480"/>
      <c r="B110" s="1416" t="s">
        <v>530</v>
      </c>
      <c r="C110" s="1441">
        <v>170</v>
      </c>
      <c r="D110" s="1429">
        <f>D111+D112+D113+D117</f>
        <v>610716</v>
      </c>
      <c r="E110" s="1481">
        <f>E111+E112+E113+E117</f>
        <v>679731</v>
      </c>
      <c r="F110" s="200" t="str">
        <f>IF(D110&lt;&gt;'ANEXA 1'!D33,"eroare"," ")</f>
        <v xml:space="preserve"> </v>
      </c>
      <c r="G110" s="200" t="str">
        <f>IF(E110&lt;&gt;'ANEXA 1'!E33,"eroare"," ")</f>
        <v xml:space="preserve"> </v>
      </c>
      <c r="I110" s="1061"/>
    </row>
    <row r="111" spans="1:9">
      <c r="A111" s="1480"/>
      <c r="B111" s="1412" t="s">
        <v>519</v>
      </c>
      <c r="C111" s="1441">
        <f t="shared" ref="C111:C117" si="0">C110+1</f>
        <v>171</v>
      </c>
      <c r="D111" s="1430"/>
      <c r="E111" s="1484">
        <v>12958</v>
      </c>
    </row>
    <row r="112" spans="1:9">
      <c r="A112" s="1480"/>
      <c r="B112" s="1412" t="s">
        <v>531</v>
      </c>
      <c r="C112" s="1441">
        <f t="shared" si="0"/>
        <v>172</v>
      </c>
      <c r="D112" s="3961">
        <v>95829</v>
      </c>
      <c r="E112" s="1484">
        <v>459706</v>
      </c>
    </row>
    <row r="113" spans="1:7">
      <c r="A113" s="1480"/>
      <c r="B113" s="1412" t="s">
        <v>532</v>
      </c>
      <c r="C113" s="1441">
        <f t="shared" si="0"/>
        <v>173</v>
      </c>
      <c r="D113" s="1429">
        <f>+D114+D115+D116</f>
        <v>65206</v>
      </c>
      <c r="E113" s="1481">
        <f>+E114+E115+E116</f>
        <v>16984</v>
      </c>
    </row>
    <row r="114" spans="1:7" ht="28.5">
      <c r="A114" s="1480"/>
      <c r="B114" s="1412" t="s">
        <v>533</v>
      </c>
      <c r="C114" s="1441">
        <f t="shared" si="0"/>
        <v>174</v>
      </c>
      <c r="D114" s="3961">
        <v>64602</v>
      </c>
      <c r="E114" s="1484">
        <v>16253</v>
      </c>
    </row>
    <row r="115" spans="1:7" ht="28.5">
      <c r="A115" s="1480"/>
      <c r="B115" s="1412" t="s">
        <v>523</v>
      </c>
      <c r="C115" s="1441">
        <f t="shared" si="0"/>
        <v>175</v>
      </c>
      <c r="D115" s="3961">
        <v>604</v>
      </c>
      <c r="E115" s="1484">
        <v>731</v>
      </c>
    </row>
    <row r="116" spans="1:7">
      <c r="A116" s="1480"/>
      <c r="B116" s="1412" t="s">
        <v>524</v>
      </c>
      <c r="C116" s="1441">
        <f t="shared" si="0"/>
        <v>176</v>
      </c>
      <c r="D116" s="1430"/>
      <c r="E116" s="1484"/>
    </row>
    <row r="117" spans="1:7" ht="42.75">
      <c r="A117" s="1480"/>
      <c r="B117" s="1412" t="s">
        <v>529</v>
      </c>
      <c r="C117" s="1441">
        <f t="shared" si="0"/>
        <v>177</v>
      </c>
      <c r="D117" s="3961">
        <v>449681</v>
      </c>
      <c r="E117" s="1484">
        <v>190083</v>
      </c>
      <c r="G117" s="2031" t="str">
        <f>IF(E117=0,"EROARE"," ")</f>
        <v xml:space="preserve"> </v>
      </c>
    </row>
    <row r="118" spans="1:7" ht="28.5">
      <c r="A118" s="1482" t="s">
        <v>534</v>
      </c>
      <c r="B118" s="1417" t="s">
        <v>535</v>
      </c>
      <c r="C118" s="1440">
        <v>180</v>
      </c>
      <c r="D118" s="1432"/>
      <c r="E118" s="1483"/>
    </row>
    <row r="119" spans="1:7" ht="42.75">
      <c r="A119" s="1480"/>
      <c r="B119" s="1416" t="s">
        <v>536</v>
      </c>
      <c r="C119" s="1441">
        <v>181</v>
      </c>
      <c r="D119" s="1429">
        <f>D120+D121+D122+D126</f>
        <v>54536444</v>
      </c>
      <c r="E119" s="1481">
        <f>E120+E121+E122+E126</f>
        <v>57003952</v>
      </c>
      <c r="F119" s="200" t="str">
        <f>IF(D119&lt;&gt;'ANEXA 1'!D36,"eroare"," ")</f>
        <v xml:space="preserve"> </v>
      </c>
      <c r="G119" s="200" t="str">
        <f>IF(E119&lt;&gt;'ANEXA 1'!E36,"eroare"," ")</f>
        <v xml:space="preserve"> </v>
      </c>
    </row>
    <row r="120" spans="1:7">
      <c r="A120" s="1480"/>
      <c r="B120" s="1412" t="s">
        <v>2151</v>
      </c>
      <c r="C120" s="1441">
        <v>182</v>
      </c>
      <c r="D120" s="3961">
        <v>30817027</v>
      </c>
      <c r="E120" s="1484">
        <v>33911893</v>
      </c>
    </row>
    <row r="121" spans="1:7">
      <c r="A121" s="1480"/>
      <c r="B121" s="1412" t="s">
        <v>531</v>
      </c>
      <c r="C121" s="1441">
        <v>183</v>
      </c>
      <c r="D121" s="3961">
        <v>23719417</v>
      </c>
      <c r="E121" s="1484">
        <v>23092059</v>
      </c>
    </row>
    <row r="122" spans="1:7">
      <c r="A122" s="1480"/>
      <c r="B122" s="1412" t="s">
        <v>537</v>
      </c>
      <c r="C122" s="1441">
        <v>184</v>
      </c>
      <c r="D122" s="1429">
        <f>+D123+D124+D125</f>
        <v>0</v>
      </c>
      <c r="E122" s="1481">
        <f>+E123+E124+E125</f>
        <v>0</v>
      </c>
    </row>
    <row r="123" spans="1:7" ht="28.5">
      <c r="A123" s="1480"/>
      <c r="B123" s="1412" t="s">
        <v>533</v>
      </c>
      <c r="C123" s="1441">
        <v>185</v>
      </c>
      <c r="D123" s="1430"/>
      <c r="E123" s="1484"/>
    </row>
    <row r="124" spans="1:7" ht="28.5">
      <c r="A124" s="1480"/>
      <c r="B124" s="1412" t="s">
        <v>523</v>
      </c>
      <c r="C124" s="1441">
        <v>186</v>
      </c>
      <c r="D124" s="1430"/>
      <c r="E124" s="1484"/>
    </row>
    <row r="125" spans="1:7">
      <c r="A125" s="1480"/>
      <c r="B125" s="1412" t="s">
        <v>524</v>
      </c>
      <c r="C125" s="1441">
        <v>187</v>
      </c>
      <c r="D125" s="1430"/>
      <c r="E125" s="1484"/>
    </row>
    <row r="126" spans="1:7" ht="42.75">
      <c r="A126" s="1480"/>
      <c r="B126" s="1412" t="s">
        <v>529</v>
      </c>
      <c r="C126" s="1441">
        <v>188</v>
      </c>
      <c r="D126" s="1430"/>
      <c r="E126" s="1484"/>
    </row>
    <row r="127" spans="1:7">
      <c r="A127" s="1486"/>
      <c r="B127" s="1412" t="s">
        <v>538</v>
      </c>
      <c r="C127" s="1441">
        <v>189</v>
      </c>
      <c r="D127" s="1429">
        <f>+D119</f>
        <v>54536444</v>
      </c>
      <c r="E127" s="1481">
        <f>+E119</f>
        <v>57003952</v>
      </c>
    </row>
    <row r="128" spans="1:7" ht="30">
      <c r="A128" s="1486"/>
      <c r="B128" s="1418" t="s">
        <v>539</v>
      </c>
      <c r="C128" s="1441">
        <v>195</v>
      </c>
      <c r="D128" s="1430"/>
      <c r="E128" s="1484"/>
    </row>
    <row r="129" spans="1:7" ht="43.5">
      <c r="A129" s="1486"/>
      <c r="B129" s="1419" t="s">
        <v>540</v>
      </c>
      <c r="C129" s="1441">
        <v>196</v>
      </c>
      <c r="D129" s="1430"/>
      <c r="E129" s="1481">
        <f>+'SOLDURI BILANT'!E109</f>
        <v>0</v>
      </c>
    </row>
    <row r="130" spans="1:7" ht="43.5">
      <c r="A130" s="1486"/>
      <c r="B130" s="1419" t="s">
        <v>541</v>
      </c>
      <c r="C130" s="1441">
        <v>197</v>
      </c>
      <c r="D130" s="1430"/>
      <c r="E130" s="1484"/>
    </row>
    <row r="131" spans="1:7" ht="43.5">
      <c r="A131" s="1486"/>
      <c r="B131" s="1419" t="s">
        <v>542</v>
      </c>
      <c r="C131" s="1441">
        <v>198</v>
      </c>
      <c r="D131" s="1429"/>
      <c r="E131" s="1481"/>
    </row>
    <row r="132" spans="1:7" ht="71.25">
      <c r="A132" s="1486"/>
      <c r="B132" s="1419" t="s">
        <v>543</v>
      </c>
      <c r="C132" s="1441">
        <v>199</v>
      </c>
      <c r="D132" s="1429">
        <f>+D133+D134+D135</f>
        <v>0</v>
      </c>
      <c r="E132" s="1481">
        <f>+E133+E134+E135</f>
        <v>0</v>
      </c>
      <c r="F132" s="200" t="str">
        <f>IF(D132&lt;&gt;'ANEXA 1'!D38,"eroare"," ")</f>
        <v xml:space="preserve"> </v>
      </c>
      <c r="G132" s="200" t="str">
        <f>IF(E132&lt;&gt;'ANEXA 1'!E38,"eroare"," ")</f>
        <v xml:space="preserve"> </v>
      </c>
    </row>
    <row r="133" spans="1:7" ht="57">
      <c r="A133" s="1486"/>
      <c r="B133" s="1420" t="s">
        <v>544</v>
      </c>
      <c r="C133" s="1441" t="s">
        <v>545</v>
      </c>
      <c r="D133" s="1430"/>
      <c r="E133" s="1484"/>
    </row>
    <row r="134" spans="1:7" ht="58.5" thickBot="1">
      <c r="A134" s="1487"/>
      <c r="B134" s="1452" t="s">
        <v>546</v>
      </c>
      <c r="C134" s="1443" t="s">
        <v>547</v>
      </c>
      <c r="D134" s="1451"/>
      <c r="E134" s="1488">
        <f>+'SOLDURI BILANT'!E107</f>
        <v>0</v>
      </c>
    </row>
    <row r="135" spans="1:7" ht="72">
      <c r="A135" s="1489"/>
      <c r="B135" s="1453" t="s">
        <v>548</v>
      </c>
      <c r="C135" s="1446" t="s">
        <v>549</v>
      </c>
      <c r="D135" s="1447"/>
      <c r="E135" s="1490"/>
    </row>
    <row r="136" spans="1:7">
      <c r="A136" s="1480"/>
      <c r="B136" s="1421" t="s">
        <v>550</v>
      </c>
      <c r="C136" s="1440">
        <v>200</v>
      </c>
      <c r="D136" s="1428"/>
      <c r="E136" s="1483"/>
    </row>
    <row r="137" spans="1:7">
      <c r="A137" s="1482" t="s">
        <v>92</v>
      </c>
      <c r="B137" s="1411" t="s">
        <v>23</v>
      </c>
      <c r="C137" s="1440">
        <v>201</v>
      </c>
      <c r="D137" s="1428"/>
      <c r="E137" s="1483"/>
    </row>
    <row r="138" spans="1:7">
      <c r="A138" s="1482" t="s">
        <v>551</v>
      </c>
      <c r="B138" s="1417" t="s">
        <v>552</v>
      </c>
      <c r="C138" s="1440">
        <v>202</v>
      </c>
      <c r="D138" s="1428"/>
      <c r="E138" s="1483"/>
    </row>
    <row r="139" spans="1:7" ht="71.25">
      <c r="A139" s="1486" t="s">
        <v>553</v>
      </c>
      <c r="B139" s="1416" t="s">
        <v>554</v>
      </c>
      <c r="C139" s="1441">
        <v>203</v>
      </c>
      <c r="D139" s="1429">
        <f>D140+D141+D142</f>
        <v>10901</v>
      </c>
      <c r="E139" s="1481">
        <f>E140+E141+E142</f>
        <v>12381</v>
      </c>
    </row>
    <row r="140" spans="1:7">
      <c r="A140" s="1486"/>
      <c r="B140" s="1412" t="s">
        <v>2152</v>
      </c>
      <c r="C140" s="1441">
        <v>204</v>
      </c>
      <c r="D140" s="3961">
        <v>10901</v>
      </c>
      <c r="E140" s="1484">
        <v>12381</v>
      </c>
      <c r="F140" s="200" t="str">
        <f>IF(D140=0,"eroare"," ")</f>
        <v xml:space="preserve"> </v>
      </c>
      <c r="G140" s="200" t="str">
        <f>IF(E140=0,"eroare"," ")</f>
        <v xml:space="preserve"> </v>
      </c>
    </row>
    <row r="141" spans="1:7">
      <c r="A141" s="1486"/>
      <c r="B141" s="1412" t="s">
        <v>478</v>
      </c>
      <c r="C141" s="1441">
        <v>205</v>
      </c>
      <c r="D141" s="1430"/>
      <c r="E141" s="1484"/>
    </row>
    <row r="142" spans="1:7" ht="21.75" customHeight="1">
      <c r="A142" s="1486"/>
      <c r="B142" s="1412" t="s">
        <v>555</v>
      </c>
      <c r="C142" s="1441">
        <v>206</v>
      </c>
      <c r="D142" s="1429">
        <f>D143+D144+D145</f>
        <v>0</v>
      </c>
      <c r="E142" s="1481">
        <f>E143+E144+E145</f>
        <v>0</v>
      </c>
    </row>
    <row r="143" spans="1:7" ht="28.5">
      <c r="A143" s="1486"/>
      <c r="B143" s="1412" t="s">
        <v>533</v>
      </c>
      <c r="C143" s="1441">
        <v>207</v>
      </c>
      <c r="D143" s="1430"/>
      <c r="E143" s="1484"/>
    </row>
    <row r="144" spans="1:7" ht="28.5">
      <c r="A144" s="1486"/>
      <c r="B144" s="1412" t="s">
        <v>523</v>
      </c>
      <c r="C144" s="1441">
        <v>208</v>
      </c>
      <c r="D144" s="1430"/>
      <c r="E144" s="1484"/>
    </row>
    <row r="145" spans="1:5" s="192" customFormat="1" ht="15">
      <c r="A145" s="1486"/>
      <c r="B145" s="1412" t="s">
        <v>524</v>
      </c>
      <c r="C145" s="1441">
        <v>209</v>
      </c>
      <c r="D145" s="1430"/>
      <c r="E145" s="1484"/>
    </row>
    <row r="146" spans="1:5" s="192" customFormat="1" ht="15">
      <c r="A146" s="1486"/>
      <c r="B146" s="1412" t="s">
        <v>556</v>
      </c>
      <c r="C146" s="1441">
        <v>210</v>
      </c>
      <c r="D146" s="1429">
        <f>+D139</f>
        <v>10901</v>
      </c>
      <c r="E146" s="1497">
        <f>+E139</f>
        <v>12381</v>
      </c>
    </row>
    <row r="147" spans="1:5" s="192" customFormat="1" ht="30">
      <c r="A147" s="1482" t="s">
        <v>141</v>
      </c>
      <c r="B147" s="1411" t="s">
        <v>557</v>
      </c>
      <c r="C147" s="1440">
        <v>220</v>
      </c>
      <c r="D147" s="1428"/>
      <c r="E147" s="1483"/>
    </row>
    <row r="148" spans="1:5" s="192" customFormat="1" ht="28.5">
      <c r="A148" s="1482" t="s">
        <v>558</v>
      </c>
      <c r="B148" s="1417" t="s">
        <v>559</v>
      </c>
      <c r="C148" s="1440">
        <v>221</v>
      </c>
      <c r="D148" s="1432"/>
      <c r="E148" s="1483"/>
    </row>
    <row r="149" spans="1:5" s="192" customFormat="1" ht="57">
      <c r="A149" s="1480"/>
      <c r="B149" s="1415" t="s">
        <v>560</v>
      </c>
      <c r="C149" s="1441">
        <v>222</v>
      </c>
      <c r="D149" s="1429">
        <f>D150+D151+D152+D153</f>
        <v>0</v>
      </c>
      <c r="E149" s="1481">
        <f>E150+E151+E152+E153</f>
        <v>0</v>
      </c>
    </row>
    <row r="150" spans="1:5" s="192" customFormat="1" ht="15">
      <c r="A150" s="1480"/>
      <c r="B150" s="1412" t="s">
        <v>561</v>
      </c>
      <c r="C150" s="1441">
        <v>223</v>
      </c>
      <c r="D150" s="1430"/>
      <c r="E150" s="1484"/>
    </row>
    <row r="151" spans="1:5" s="192" customFormat="1" ht="28.5">
      <c r="A151" s="1480"/>
      <c r="B151" s="1412" t="s">
        <v>562</v>
      </c>
      <c r="C151" s="1441">
        <v>224</v>
      </c>
      <c r="D151" s="1430"/>
      <c r="E151" s="1484"/>
    </row>
    <row r="152" spans="1:5" s="192" customFormat="1" ht="42.75">
      <c r="A152" s="1480"/>
      <c r="B152" s="1412" t="s">
        <v>525</v>
      </c>
      <c r="C152" s="1441">
        <f>C151+1</f>
        <v>225</v>
      </c>
      <c r="D152" s="1430"/>
      <c r="E152" s="1484"/>
    </row>
    <row r="153" spans="1:5" s="192" customFormat="1" ht="42.75">
      <c r="A153" s="1480"/>
      <c r="B153" s="1412" t="s">
        <v>477</v>
      </c>
      <c r="C153" s="1441">
        <f>C152+1</f>
        <v>226</v>
      </c>
      <c r="D153" s="1430"/>
      <c r="E153" s="1484"/>
    </row>
    <row r="154" spans="1:5" s="192" customFormat="1" ht="15">
      <c r="A154" s="1482" t="s">
        <v>479</v>
      </c>
      <c r="B154" s="1411" t="s">
        <v>563</v>
      </c>
      <c r="C154" s="1441">
        <f>C153+1</f>
        <v>227</v>
      </c>
      <c r="D154" s="1429">
        <f>D149</f>
        <v>0</v>
      </c>
      <c r="E154" s="1481">
        <f>E149</f>
        <v>0</v>
      </c>
    </row>
    <row r="155" spans="1:5" s="192" customFormat="1" ht="42.75">
      <c r="A155" s="1482"/>
      <c r="B155" s="1415" t="s">
        <v>564</v>
      </c>
      <c r="C155" s="1441">
        <f>C154+1</f>
        <v>228</v>
      </c>
      <c r="D155" s="1430"/>
      <c r="E155" s="1484"/>
    </row>
    <row r="156" spans="1:5" s="192" customFormat="1" ht="27" customHeight="1">
      <c r="A156" s="1482"/>
      <c r="B156" s="1412" t="s">
        <v>565</v>
      </c>
      <c r="C156" s="1441">
        <v>229</v>
      </c>
      <c r="D156" s="1429">
        <f>D154+D155</f>
        <v>0</v>
      </c>
      <c r="E156" s="1481">
        <f>E154+E155</f>
        <v>0</v>
      </c>
    </row>
    <row r="157" spans="1:5" s="192" customFormat="1" ht="28.5">
      <c r="A157" s="1482" t="s">
        <v>566</v>
      </c>
      <c r="B157" s="1417" t="s">
        <v>567</v>
      </c>
      <c r="C157" s="1437">
        <v>240</v>
      </c>
      <c r="D157" s="1432"/>
      <c r="E157" s="1483"/>
    </row>
    <row r="158" spans="1:5" s="192" customFormat="1" ht="57.75">
      <c r="A158" s="1480"/>
      <c r="B158" s="1416" t="s">
        <v>568</v>
      </c>
      <c r="C158" s="1441">
        <v>241</v>
      </c>
      <c r="D158" s="1429">
        <f>D159+D160+D161+D162</f>
        <v>0</v>
      </c>
      <c r="E158" s="1481">
        <f>E159+E160+E161+E162</f>
        <v>0</v>
      </c>
    </row>
    <row r="159" spans="1:5" s="192" customFormat="1" ht="15">
      <c r="A159" s="1480"/>
      <c r="B159" s="1412" t="s">
        <v>561</v>
      </c>
      <c r="C159" s="1441">
        <v>242</v>
      </c>
      <c r="D159" s="1430"/>
      <c r="E159" s="1484"/>
    </row>
    <row r="160" spans="1:5" s="192" customFormat="1" ht="28.5">
      <c r="A160" s="1480"/>
      <c r="B160" s="1412" t="s">
        <v>562</v>
      </c>
      <c r="C160" s="1441">
        <v>243</v>
      </c>
      <c r="D160" s="1430"/>
      <c r="E160" s="1484"/>
    </row>
    <row r="161" spans="1:5" s="192" customFormat="1" ht="42.75">
      <c r="A161" s="1480"/>
      <c r="B161" s="1412" t="s">
        <v>525</v>
      </c>
      <c r="C161" s="1441">
        <f>C160+1</f>
        <v>244</v>
      </c>
      <c r="D161" s="1430"/>
      <c r="E161" s="1484"/>
    </row>
    <row r="162" spans="1:5" s="192" customFormat="1" ht="42.75">
      <c r="A162" s="1480"/>
      <c r="B162" s="1412" t="s">
        <v>477</v>
      </c>
      <c r="C162" s="1441">
        <f>C161+1</f>
        <v>245</v>
      </c>
      <c r="D162" s="1430"/>
      <c r="E162" s="1484"/>
    </row>
    <row r="163" spans="1:5" s="192" customFormat="1" ht="15">
      <c r="A163" s="1482" t="s">
        <v>479</v>
      </c>
      <c r="B163" s="1411" t="s">
        <v>569</v>
      </c>
      <c r="C163" s="1441">
        <f>C162+1</f>
        <v>246</v>
      </c>
      <c r="D163" s="1429">
        <f>D158</f>
        <v>0</v>
      </c>
      <c r="E163" s="1481">
        <f>E158</f>
        <v>0</v>
      </c>
    </row>
    <row r="164" spans="1:5" s="192" customFormat="1" ht="42.75">
      <c r="A164" s="1482"/>
      <c r="B164" s="1415" t="s">
        <v>570</v>
      </c>
      <c r="C164" s="1441">
        <f>C163+1</f>
        <v>247</v>
      </c>
      <c r="D164" s="1430"/>
      <c r="E164" s="1484"/>
    </row>
    <row r="165" spans="1:5" s="192" customFormat="1" ht="24" customHeight="1" thickBot="1">
      <c r="A165" s="1498"/>
      <c r="B165" s="1444" t="s">
        <v>571</v>
      </c>
      <c r="C165" s="1443">
        <v>248</v>
      </c>
      <c r="D165" s="1435">
        <f>D163+D164</f>
        <v>0</v>
      </c>
      <c r="E165" s="1488">
        <f>E163+E164</f>
        <v>0</v>
      </c>
    </row>
    <row r="166" spans="1:5" s="192" customFormat="1" ht="15.75">
      <c r="A166" s="1493" t="s">
        <v>167</v>
      </c>
      <c r="B166" s="1454" t="s">
        <v>572</v>
      </c>
      <c r="C166" s="1455">
        <v>260</v>
      </c>
      <c r="D166" s="1450"/>
      <c r="E166" s="1494"/>
    </row>
    <row r="167" spans="1:5" s="192" customFormat="1" ht="15.75">
      <c r="A167" s="1482" t="s">
        <v>573</v>
      </c>
      <c r="B167" s="1417" t="s">
        <v>574</v>
      </c>
      <c r="C167" s="1437">
        <v>261</v>
      </c>
      <c r="D167" s="1428"/>
      <c r="E167" s="1483"/>
    </row>
    <row r="168" spans="1:5" s="192" customFormat="1" ht="72">
      <c r="A168" s="1480"/>
      <c r="B168" s="1415" t="s">
        <v>2153</v>
      </c>
      <c r="C168" s="1441">
        <v>262</v>
      </c>
      <c r="D168" s="1429">
        <f>D169+D170+D171</f>
        <v>0</v>
      </c>
      <c r="E168" s="1481">
        <f>E169+E170+E171</f>
        <v>0</v>
      </c>
    </row>
    <row r="169" spans="1:5" s="192" customFormat="1" ht="28.5">
      <c r="A169" s="1480"/>
      <c r="B169" s="1412" t="s">
        <v>562</v>
      </c>
      <c r="C169" s="1441">
        <v>263</v>
      </c>
      <c r="D169" s="1430"/>
      <c r="E169" s="1484"/>
    </row>
    <row r="170" spans="1:5" s="192" customFormat="1" ht="42.75">
      <c r="A170" s="1480"/>
      <c r="B170" s="1412" t="s">
        <v>525</v>
      </c>
      <c r="C170" s="1441">
        <v>264</v>
      </c>
      <c r="D170" s="1430"/>
      <c r="E170" s="1484"/>
    </row>
    <row r="171" spans="1:5" s="192" customFormat="1" ht="42.75">
      <c r="A171" s="1480"/>
      <c r="B171" s="1412" t="s">
        <v>477</v>
      </c>
      <c r="C171" s="1441">
        <f>C170+1</f>
        <v>265</v>
      </c>
      <c r="D171" s="1430"/>
      <c r="E171" s="1484"/>
    </row>
    <row r="172" spans="1:5" s="192" customFormat="1" ht="100.5">
      <c r="A172" s="1480"/>
      <c r="B172" s="1416" t="s">
        <v>2154</v>
      </c>
      <c r="C172" s="1441">
        <f>C171+1</f>
        <v>266</v>
      </c>
      <c r="D172" s="1430"/>
      <c r="E172" s="1481"/>
    </row>
    <row r="173" spans="1:5" s="192" customFormat="1" ht="28.5">
      <c r="A173" s="1480"/>
      <c r="B173" s="1416" t="s">
        <v>575</v>
      </c>
      <c r="C173" s="1441">
        <v>267</v>
      </c>
      <c r="D173" s="1430"/>
      <c r="E173" s="1484"/>
    </row>
    <row r="174" spans="1:5" s="192" customFormat="1" ht="15">
      <c r="A174" s="1480"/>
      <c r="B174" s="1411" t="s">
        <v>576</v>
      </c>
      <c r="C174" s="1441">
        <f>C173+1</f>
        <v>268</v>
      </c>
      <c r="D174" s="1429">
        <f>D168+D172+D173</f>
        <v>0</v>
      </c>
      <c r="E174" s="1481">
        <f>E168+E172+E173</f>
        <v>0</v>
      </c>
    </row>
    <row r="175" spans="1:5" s="192" customFormat="1" ht="71.25">
      <c r="A175" s="1480"/>
      <c r="B175" s="1415" t="s">
        <v>577</v>
      </c>
      <c r="C175" s="1441">
        <f>C174+1</f>
        <v>269</v>
      </c>
      <c r="D175" s="1429">
        <f>D176+D177+D178</f>
        <v>0</v>
      </c>
      <c r="E175" s="1481">
        <f>E176+E177+E178</f>
        <v>0</v>
      </c>
    </row>
    <row r="176" spans="1:5" s="192" customFormat="1" ht="28.5">
      <c r="A176" s="1480"/>
      <c r="B176" s="1412" t="s">
        <v>562</v>
      </c>
      <c r="C176" s="1441">
        <v>270</v>
      </c>
      <c r="D176" s="1430"/>
      <c r="E176" s="1484"/>
    </row>
    <row r="177" spans="1:7" ht="42.75">
      <c r="A177" s="1480"/>
      <c r="B177" s="1412" t="s">
        <v>525</v>
      </c>
      <c r="C177" s="1441">
        <v>271</v>
      </c>
      <c r="D177" s="1430"/>
      <c r="E177" s="1484"/>
    </row>
    <row r="178" spans="1:7" ht="42.75">
      <c r="A178" s="1480"/>
      <c r="B178" s="1412" t="s">
        <v>477</v>
      </c>
      <c r="C178" s="1441">
        <v>272</v>
      </c>
      <c r="D178" s="1430"/>
      <c r="E178" s="1484"/>
    </row>
    <row r="179" spans="1:7" ht="42.75">
      <c r="A179" s="1480"/>
      <c r="B179" s="1415" t="s">
        <v>578</v>
      </c>
      <c r="C179" s="1441">
        <f>C178+1</f>
        <v>273</v>
      </c>
      <c r="D179" s="1430"/>
      <c r="E179" s="1484"/>
    </row>
    <row r="180" spans="1:7" ht="18.75" customHeight="1">
      <c r="A180" s="1480"/>
      <c r="B180" s="1411" t="s">
        <v>579</v>
      </c>
      <c r="C180" s="1441">
        <v>274</v>
      </c>
      <c r="D180" s="1429">
        <f>D175+D179</f>
        <v>0</v>
      </c>
      <c r="E180" s="1481">
        <f>E175+E179</f>
        <v>0</v>
      </c>
    </row>
    <row r="181" spans="1:7">
      <c r="A181" s="1480"/>
      <c r="B181" s="1411" t="s">
        <v>580</v>
      </c>
      <c r="C181" s="1441">
        <v>275</v>
      </c>
      <c r="D181" s="1429">
        <f>D174+D180</f>
        <v>0</v>
      </c>
      <c r="E181" s="1481">
        <f>E174+E180</f>
        <v>0</v>
      </c>
      <c r="F181" s="27"/>
      <c r="G181" s="27"/>
    </row>
    <row r="182" spans="1:7" ht="60">
      <c r="A182" s="1480"/>
      <c r="B182" s="1411" t="s">
        <v>2155</v>
      </c>
      <c r="C182" s="1441">
        <v>276</v>
      </c>
      <c r="D182" s="1433"/>
      <c r="E182" s="1481"/>
      <c r="F182" s="27"/>
      <c r="G182" s="27"/>
    </row>
    <row r="183" spans="1:7" ht="57">
      <c r="A183" s="1480"/>
      <c r="B183" s="1415" t="s">
        <v>2156</v>
      </c>
      <c r="C183" s="1441">
        <v>277</v>
      </c>
      <c r="D183" s="1434">
        <f>+D184+D185+D186+D187</f>
        <v>0</v>
      </c>
      <c r="E183" s="1481"/>
      <c r="F183" s="27"/>
      <c r="G183" s="27"/>
    </row>
    <row r="184" spans="1:7" ht="42.75">
      <c r="A184" s="1480"/>
      <c r="B184" s="1412" t="s">
        <v>581</v>
      </c>
      <c r="C184" s="1441">
        <v>278</v>
      </c>
      <c r="D184" s="1433"/>
      <c r="E184" s="1481"/>
      <c r="F184" s="27"/>
      <c r="G184" s="27"/>
    </row>
    <row r="185" spans="1:7" ht="42.75">
      <c r="A185" s="1480"/>
      <c r="B185" s="1412" t="s">
        <v>582</v>
      </c>
      <c r="C185" s="1441">
        <v>279</v>
      </c>
      <c r="D185" s="1433"/>
      <c r="E185" s="1481"/>
      <c r="F185" s="27"/>
      <c r="G185" s="27"/>
    </row>
    <row r="186" spans="1:7" ht="42.75">
      <c r="A186" s="1480"/>
      <c r="B186" s="1412" t="s">
        <v>477</v>
      </c>
      <c r="C186" s="1441">
        <v>280</v>
      </c>
      <c r="D186" s="1433"/>
      <c r="E186" s="1481"/>
      <c r="F186" s="27"/>
      <c r="G186" s="27"/>
    </row>
    <row r="187" spans="1:7" ht="28.5">
      <c r="A187" s="1480"/>
      <c r="B187" s="1412" t="s">
        <v>583</v>
      </c>
      <c r="C187" s="1441">
        <v>281</v>
      </c>
      <c r="D187" s="1433"/>
      <c r="E187" s="1481"/>
      <c r="F187" s="27"/>
      <c r="G187" s="27"/>
    </row>
    <row r="188" spans="1:7" ht="72" thickBot="1">
      <c r="A188" s="1492"/>
      <c r="B188" s="1444" t="s">
        <v>2157</v>
      </c>
      <c r="C188" s="1443">
        <v>282</v>
      </c>
      <c r="D188" s="1456">
        <f>+D189+D190+D191+D192</f>
        <v>0</v>
      </c>
      <c r="E188" s="1488">
        <f>+E189+E190+E191+E192</f>
        <v>0</v>
      </c>
      <c r="F188" s="200" t="str">
        <f>IF(D156+D181+D183+D188&lt;&gt;'ANEXA 1'!D73+'ANEXA 1'!D74,"eroare"," ")</f>
        <v xml:space="preserve"> </v>
      </c>
      <c r="G188" s="200" t="str">
        <f>IF(E156+E181+E183+E188&lt;&gt;'ANEXA 1'!E73+'ANEXA 1'!E74,"eroare"," ")</f>
        <v xml:space="preserve"> </v>
      </c>
    </row>
    <row r="189" spans="1:7" ht="42.75">
      <c r="A189" s="1496"/>
      <c r="B189" s="1445" t="s">
        <v>584</v>
      </c>
      <c r="C189" s="1446">
        <v>283</v>
      </c>
      <c r="D189" s="1457"/>
      <c r="E189" s="1499"/>
      <c r="F189" s="27"/>
      <c r="G189" s="27"/>
    </row>
    <row r="190" spans="1:7" ht="42.75">
      <c r="A190" s="1480"/>
      <c r="B190" s="1412" t="s">
        <v>582</v>
      </c>
      <c r="C190" s="1441">
        <v>284</v>
      </c>
      <c r="D190" s="1433"/>
      <c r="E190" s="1481"/>
      <c r="F190" s="27"/>
      <c r="G190" s="27"/>
    </row>
    <row r="191" spans="1:7" ht="42.75">
      <c r="A191" s="1480"/>
      <c r="B191" s="1412" t="s">
        <v>477</v>
      </c>
      <c r="C191" s="1441">
        <v>284.10000000000002</v>
      </c>
      <c r="D191" s="1433"/>
      <c r="E191" s="1481"/>
      <c r="F191" s="27"/>
      <c r="G191" s="27"/>
    </row>
    <row r="192" spans="1:7" ht="28.5">
      <c r="A192" s="1480"/>
      <c r="B192" s="1412" t="s">
        <v>583</v>
      </c>
      <c r="C192" s="1441">
        <v>284.2</v>
      </c>
      <c r="D192" s="1433"/>
      <c r="E192" s="1481"/>
      <c r="F192" s="27"/>
      <c r="G192" s="27"/>
    </row>
    <row r="193" spans="1:7">
      <c r="A193" s="1482" t="s">
        <v>585</v>
      </c>
      <c r="B193" s="1417" t="s">
        <v>586</v>
      </c>
      <c r="C193" s="1437">
        <v>285</v>
      </c>
      <c r="D193" s="1428"/>
      <c r="E193" s="1483"/>
    </row>
    <row r="194" spans="1:7" ht="57">
      <c r="A194" s="1480"/>
      <c r="B194" s="1415" t="s">
        <v>587</v>
      </c>
      <c r="C194" s="1441">
        <v>286</v>
      </c>
      <c r="D194" s="1429">
        <f>+D195+D196+D197</f>
        <v>0</v>
      </c>
      <c r="E194" s="1481">
        <f>+E195+E196+E197</f>
        <v>0</v>
      </c>
    </row>
    <row r="195" spans="1:7" ht="27" customHeight="1">
      <c r="A195" s="1480"/>
      <c r="B195" s="1412" t="s">
        <v>562</v>
      </c>
      <c r="C195" s="1441">
        <v>287</v>
      </c>
      <c r="D195" s="1430"/>
      <c r="E195" s="1484"/>
    </row>
    <row r="196" spans="1:7" ht="42.75">
      <c r="A196" s="1480"/>
      <c r="B196" s="1412" t="s">
        <v>525</v>
      </c>
      <c r="C196" s="1441">
        <f>C195+1</f>
        <v>288</v>
      </c>
      <c r="D196" s="1430"/>
      <c r="E196" s="1484"/>
    </row>
    <row r="197" spans="1:7" ht="42.75" customHeight="1">
      <c r="A197" s="1480"/>
      <c r="B197" s="1412" t="s">
        <v>477</v>
      </c>
      <c r="C197" s="1441">
        <f>C196+1</f>
        <v>289</v>
      </c>
      <c r="D197" s="1430"/>
      <c r="E197" s="1484"/>
    </row>
    <row r="198" spans="1:7" ht="42.75" customHeight="1">
      <c r="A198" s="1480"/>
      <c r="B198" s="1416" t="s">
        <v>588</v>
      </c>
      <c r="C198" s="1441">
        <v>290</v>
      </c>
      <c r="D198" s="1430"/>
      <c r="E198" s="1481">
        <f>'SOLDURI BILANT'!F25</f>
        <v>0</v>
      </c>
    </row>
    <row r="199" spans="1:7" ht="19.5" customHeight="1">
      <c r="A199" s="1480"/>
      <c r="B199" s="1412" t="s">
        <v>589</v>
      </c>
      <c r="C199" s="1441">
        <v>291</v>
      </c>
      <c r="D199" s="1429">
        <f>D194+D198</f>
        <v>0</v>
      </c>
      <c r="E199" s="1481">
        <f>E194+E198</f>
        <v>0</v>
      </c>
    </row>
    <row r="200" spans="1:7" ht="71.25">
      <c r="A200" s="1480"/>
      <c r="B200" s="1415" t="s">
        <v>590</v>
      </c>
      <c r="C200" s="1441">
        <v>292</v>
      </c>
      <c r="D200" s="1429">
        <f>D201+D202+D203</f>
        <v>0</v>
      </c>
      <c r="E200" s="1481">
        <f>E201+E202+E203</f>
        <v>0</v>
      </c>
    </row>
    <row r="201" spans="1:7" ht="28.5">
      <c r="A201" s="1480"/>
      <c r="B201" s="1422" t="s">
        <v>591</v>
      </c>
      <c r="C201" s="1441">
        <v>293</v>
      </c>
      <c r="D201" s="1430"/>
      <c r="E201" s="1484"/>
    </row>
    <row r="202" spans="1:7" ht="42.75">
      <c r="A202" s="1480"/>
      <c r="B202" s="1412" t="s">
        <v>525</v>
      </c>
      <c r="C202" s="1441">
        <v>294</v>
      </c>
      <c r="D202" s="1430"/>
      <c r="E202" s="1484"/>
    </row>
    <row r="203" spans="1:7" ht="42.75">
      <c r="A203" s="1480"/>
      <c r="B203" s="1412" t="s">
        <v>477</v>
      </c>
      <c r="C203" s="1441">
        <v>295</v>
      </c>
      <c r="D203" s="1430"/>
      <c r="E203" s="1484"/>
    </row>
    <row r="204" spans="1:7" ht="42.75">
      <c r="A204" s="1480"/>
      <c r="B204" s="1415" t="s">
        <v>592</v>
      </c>
      <c r="C204" s="1441">
        <v>296</v>
      </c>
      <c r="D204" s="1430"/>
      <c r="E204" s="1484"/>
    </row>
    <row r="205" spans="1:7" ht="22.5" customHeight="1">
      <c r="A205" s="1480"/>
      <c r="B205" s="1412" t="s">
        <v>593</v>
      </c>
      <c r="C205" s="1441">
        <v>297</v>
      </c>
      <c r="D205" s="1429">
        <f>D200+D204</f>
        <v>0</v>
      </c>
      <c r="E205" s="1481">
        <f>E200+E204</f>
        <v>0</v>
      </c>
    </row>
    <row r="206" spans="1:7">
      <c r="A206" s="1480"/>
      <c r="B206" s="1411" t="s">
        <v>594</v>
      </c>
      <c r="C206" s="1441">
        <v>298</v>
      </c>
      <c r="D206" s="1429"/>
      <c r="E206" s="1481"/>
      <c r="F206" s="27"/>
      <c r="G206" s="27"/>
    </row>
    <row r="207" spans="1:7" ht="45">
      <c r="A207" s="1480"/>
      <c r="B207" s="1411" t="s">
        <v>2158</v>
      </c>
      <c r="C207" s="1441">
        <v>299</v>
      </c>
      <c r="D207" s="1433"/>
      <c r="E207" s="1481"/>
      <c r="F207" s="27"/>
      <c r="G207" s="27"/>
    </row>
    <row r="208" spans="1:7" ht="57">
      <c r="A208" s="1480"/>
      <c r="B208" s="1412" t="s">
        <v>2159</v>
      </c>
      <c r="C208" s="1441">
        <v>300</v>
      </c>
      <c r="D208" s="1434">
        <f>+D209+D210+D211+D212</f>
        <v>0</v>
      </c>
      <c r="E208" s="1481">
        <f>+E209+E210+E211+E212</f>
        <v>0</v>
      </c>
      <c r="F208" s="200" t="str">
        <f>IF(D163+D199+D208&lt;&gt;'ANEXA 1'!D59,"eroare"," ")</f>
        <v xml:space="preserve"> </v>
      </c>
      <c r="G208" s="200" t="str">
        <f>IF(E163+E199+E208&lt;&gt;'ANEXA 1'!E59,"eroare"," ")</f>
        <v xml:space="preserve"> </v>
      </c>
    </row>
    <row r="209" spans="1:7" ht="42.75">
      <c r="A209" s="1480"/>
      <c r="B209" s="1412" t="s">
        <v>581</v>
      </c>
      <c r="C209" s="1441">
        <v>301</v>
      </c>
      <c r="D209" s="1433"/>
      <c r="E209" s="1481"/>
      <c r="F209" s="27"/>
      <c r="G209" s="27"/>
    </row>
    <row r="210" spans="1:7" ht="42.75">
      <c r="A210" s="1480"/>
      <c r="B210" s="1412" t="s">
        <v>582</v>
      </c>
      <c r="C210" s="1441">
        <v>302</v>
      </c>
      <c r="D210" s="1433"/>
      <c r="E210" s="1481"/>
      <c r="F210" s="27"/>
      <c r="G210" s="27"/>
    </row>
    <row r="211" spans="1:7" ht="42.75">
      <c r="A211" s="1480"/>
      <c r="B211" s="1412" t="s">
        <v>477</v>
      </c>
      <c r="C211" s="1441">
        <v>303</v>
      </c>
      <c r="D211" s="1433"/>
      <c r="E211" s="1481"/>
      <c r="F211" s="27"/>
      <c r="G211" s="27"/>
    </row>
    <row r="212" spans="1:7" ht="28.5">
      <c r="A212" s="1480"/>
      <c r="B212" s="1412" t="s">
        <v>583</v>
      </c>
      <c r="C212" s="1441">
        <v>304</v>
      </c>
      <c r="D212" s="1433"/>
      <c r="E212" s="1481"/>
      <c r="F212" s="27"/>
      <c r="G212" s="27"/>
    </row>
    <row r="213" spans="1:7" ht="72" thickBot="1">
      <c r="A213" s="1492"/>
      <c r="B213" s="1458" t="s">
        <v>2160</v>
      </c>
      <c r="C213" s="1443">
        <v>305</v>
      </c>
      <c r="D213" s="1456">
        <f>+D214+D215+D216+D217</f>
        <v>0</v>
      </c>
      <c r="E213" s="1488">
        <f>+E214+E215+E216+E217</f>
        <v>0</v>
      </c>
      <c r="F213" s="27"/>
      <c r="G213" s="27"/>
    </row>
    <row r="214" spans="1:7" ht="42.75">
      <c r="A214" s="1496"/>
      <c r="B214" s="1445" t="s">
        <v>581</v>
      </c>
      <c r="C214" s="1446">
        <v>306</v>
      </c>
      <c r="D214" s="1457"/>
      <c r="E214" s="1499"/>
      <c r="F214" s="27"/>
      <c r="G214" s="27"/>
    </row>
    <row r="215" spans="1:7" ht="42.75">
      <c r="A215" s="1480"/>
      <c r="B215" s="1412" t="s">
        <v>582</v>
      </c>
      <c r="C215" s="1441">
        <v>307</v>
      </c>
      <c r="D215" s="1433"/>
      <c r="E215" s="1481"/>
      <c r="F215" s="27"/>
      <c r="G215" s="27"/>
    </row>
    <row r="216" spans="1:7" ht="42.75">
      <c r="A216" s="1480"/>
      <c r="B216" s="1412" t="s">
        <v>477</v>
      </c>
      <c r="C216" s="1441">
        <v>308</v>
      </c>
      <c r="D216" s="1433"/>
      <c r="E216" s="1481"/>
      <c r="F216" s="27"/>
      <c r="G216" s="27"/>
    </row>
    <row r="217" spans="1:7" ht="28.5">
      <c r="A217" s="1480"/>
      <c r="B217" s="1412" t="s">
        <v>583</v>
      </c>
      <c r="C217" s="1441">
        <v>309</v>
      </c>
      <c r="D217" s="1433"/>
      <c r="E217" s="1481"/>
      <c r="F217" s="27"/>
      <c r="G217" s="27"/>
    </row>
    <row r="218" spans="1:7">
      <c r="A218" s="1482" t="s">
        <v>514</v>
      </c>
      <c r="B218" s="1411" t="s">
        <v>595</v>
      </c>
      <c r="C218" s="1437">
        <v>310</v>
      </c>
      <c r="D218" s="1428"/>
      <c r="E218" s="1483"/>
    </row>
    <row r="219" spans="1:7">
      <c r="A219" s="1482" t="s">
        <v>516</v>
      </c>
      <c r="B219" s="1417" t="s">
        <v>596</v>
      </c>
      <c r="C219" s="1437">
        <v>311</v>
      </c>
      <c r="D219" s="1428"/>
      <c r="E219" s="1483"/>
    </row>
    <row r="220" spans="1:7" ht="57.75">
      <c r="A220" s="1480"/>
      <c r="B220" s="1415" t="s">
        <v>597</v>
      </c>
      <c r="C220" s="1441">
        <v>312</v>
      </c>
      <c r="D220" s="1429">
        <f>+D221+D222+D226+D227</f>
        <v>0</v>
      </c>
      <c r="E220" s="1481">
        <f>+E221+E222+E226+E227</f>
        <v>0</v>
      </c>
      <c r="F220" s="200" t="str">
        <f>IF(D220&lt;&gt;'ANEXA 1'!D58,"eroare"," ")</f>
        <v xml:space="preserve"> </v>
      </c>
      <c r="G220" s="200" t="str">
        <f>IF(E220&lt;&gt;'ANEXA 1'!E58,"eroare"," ")</f>
        <v xml:space="preserve"> </v>
      </c>
    </row>
    <row r="221" spans="1:7">
      <c r="A221" s="1480"/>
      <c r="B221" s="1412" t="s">
        <v>478</v>
      </c>
      <c r="C221" s="1441">
        <f t="shared" ref="C221:C227" si="1">C220+1</f>
        <v>313</v>
      </c>
      <c r="D221" s="1430"/>
      <c r="E221" s="1484"/>
    </row>
    <row r="222" spans="1:7">
      <c r="A222" s="1480"/>
      <c r="B222" s="1412" t="s">
        <v>598</v>
      </c>
      <c r="C222" s="1441">
        <f t="shared" si="1"/>
        <v>314</v>
      </c>
      <c r="D222" s="1429">
        <f>D223+D224+D225</f>
        <v>0</v>
      </c>
      <c r="E222" s="1481">
        <f>E223+E224+E225</f>
        <v>0</v>
      </c>
    </row>
    <row r="223" spans="1:7" ht="28.5">
      <c r="A223" s="1480"/>
      <c r="B223" s="1412" t="s">
        <v>533</v>
      </c>
      <c r="C223" s="1441">
        <f t="shared" si="1"/>
        <v>315</v>
      </c>
      <c r="D223" s="1430"/>
      <c r="E223" s="1484"/>
    </row>
    <row r="224" spans="1:7" ht="28.5">
      <c r="A224" s="1480"/>
      <c r="B224" s="1412" t="s">
        <v>523</v>
      </c>
      <c r="C224" s="1441">
        <f t="shared" si="1"/>
        <v>316</v>
      </c>
      <c r="D224" s="1430"/>
      <c r="E224" s="1484"/>
    </row>
    <row r="225" spans="1:7">
      <c r="A225" s="1480"/>
      <c r="B225" s="1412" t="s">
        <v>524</v>
      </c>
      <c r="C225" s="1441">
        <f t="shared" si="1"/>
        <v>317</v>
      </c>
      <c r="D225" s="1430"/>
      <c r="E225" s="1484"/>
    </row>
    <row r="226" spans="1:7" ht="42.75">
      <c r="A226" s="1480"/>
      <c r="B226" s="1412" t="s">
        <v>525</v>
      </c>
      <c r="C226" s="1441">
        <f t="shared" si="1"/>
        <v>318</v>
      </c>
      <c r="D226" s="1430"/>
      <c r="E226" s="1484"/>
    </row>
    <row r="227" spans="1:7" ht="42.75">
      <c r="A227" s="1480"/>
      <c r="B227" s="1412" t="s">
        <v>477</v>
      </c>
      <c r="C227" s="1441">
        <f t="shared" si="1"/>
        <v>319</v>
      </c>
      <c r="D227" s="1430"/>
      <c r="E227" s="1484"/>
    </row>
    <row r="228" spans="1:7" ht="71.25">
      <c r="A228" s="1480"/>
      <c r="B228" s="1416" t="s">
        <v>599</v>
      </c>
      <c r="C228" s="1441" t="s">
        <v>600</v>
      </c>
      <c r="D228" s="1429">
        <f>D229+D230+D236+D237</f>
        <v>63560675</v>
      </c>
      <c r="E228" s="1481">
        <f>E229+E230+E236+E237</f>
        <v>30429595</v>
      </c>
      <c r="F228" s="200" t="str">
        <f>IF(D228&lt;&gt;'ANEXA 1'!D65,"eroare"," ")</f>
        <v xml:space="preserve"> </v>
      </c>
      <c r="G228" s="200" t="str">
        <f>IF(E228&lt;&gt;'ANEXA 1'!E65,"eroare"," ")</f>
        <v xml:space="preserve"> </v>
      </c>
    </row>
    <row r="229" spans="1:7">
      <c r="A229" s="1480"/>
      <c r="B229" s="1412" t="s">
        <v>478</v>
      </c>
      <c r="C229" s="1441" t="s">
        <v>601</v>
      </c>
      <c r="D229" s="3961">
        <v>50760906</v>
      </c>
      <c r="E229" s="1484">
        <v>26485137</v>
      </c>
    </row>
    <row r="230" spans="1:7">
      <c r="A230" s="1480"/>
      <c r="B230" s="1412" t="s">
        <v>602</v>
      </c>
      <c r="C230" s="1441" t="s">
        <v>603</v>
      </c>
      <c r="D230" s="1429">
        <f>+D231+D233+D235</f>
        <v>12799769</v>
      </c>
      <c r="E230" s="1481">
        <f>+E231+E233+E235</f>
        <v>3944458</v>
      </c>
    </row>
    <row r="231" spans="1:7" ht="28.5">
      <c r="A231" s="1480"/>
      <c r="B231" s="1412" t="s">
        <v>533</v>
      </c>
      <c r="C231" s="1441" t="s">
        <v>604</v>
      </c>
      <c r="D231" s="1430"/>
      <c r="E231" s="1484"/>
    </row>
    <row r="232" spans="1:7" ht="28.5">
      <c r="A232" s="1480"/>
      <c r="B232" s="1412" t="s">
        <v>605</v>
      </c>
      <c r="C232" s="1441" t="s">
        <v>606</v>
      </c>
      <c r="D232" s="1430"/>
      <c r="E232" s="1484"/>
      <c r="G232" s="2093" t="str">
        <f>IF(E231&lt;&gt;E232,"EROARE"," ")</f>
        <v xml:space="preserve"> </v>
      </c>
    </row>
    <row r="233" spans="1:7" ht="28.5">
      <c r="A233" s="1480"/>
      <c r="B233" s="1412" t="s">
        <v>523</v>
      </c>
      <c r="C233" s="1441" t="s">
        <v>607</v>
      </c>
      <c r="D233" s="3961">
        <v>12799769</v>
      </c>
      <c r="E233" s="1484">
        <v>3944458</v>
      </c>
    </row>
    <row r="234" spans="1:7" ht="28.5">
      <c r="A234" s="1480"/>
      <c r="B234" s="1412" t="s">
        <v>608</v>
      </c>
      <c r="C234" s="1441" t="s">
        <v>609</v>
      </c>
      <c r="D234" s="3961">
        <v>12799769</v>
      </c>
      <c r="E234" s="1484">
        <v>3944458</v>
      </c>
      <c r="G234" s="2093" t="str">
        <f>IF(E233&lt;&gt;E234,"EROARE"," ")</f>
        <v xml:space="preserve"> </v>
      </c>
    </row>
    <row r="235" spans="1:7">
      <c r="A235" s="1480"/>
      <c r="B235" s="1412" t="s">
        <v>524</v>
      </c>
      <c r="C235" s="1441" t="s">
        <v>610</v>
      </c>
      <c r="D235" s="1430"/>
      <c r="E235" s="1484">
        <v>0</v>
      </c>
    </row>
    <row r="236" spans="1:7" ht="42.75">
      <c r="A236" s="1480"/>
      <c r="B236" s="1412" t="s">
        <v>525</v>
      </c>
      <c r="C236" s="1441" t="s">
        <v>611</v>
      </c>
      <c r="D236" s="1430"/>
      <c r="E236" s="1484">
        <v>0</v>
      </c>
    </row>
    <row r="237" spans="1:7" ht="42.75">
      <c r="A237" s="1480"/>
      <c r="B237" s="1412" t="s">
        <v>477</v>
      </c>
      <c r="C237" s="1441" t="s">
        <v>612</v>
      </c>
      <c r="D237" s="1430"/>
      <c r="E237" s="1484"/>
    </row>
    <row r="238" spans="1:7" ht="30">
      <c r="A238" s="1482"/>
      <c r="B238" s="1411" t="s">
        <v>613</v>
      </c>
      <c r="C238" s="1437">
        <v>320</v>
      </c>
      <c r="D238" s="1432"/>
      <c r="E238" s="1483"/>
    </row>
    <row r="239" spans="1:7" ht="71.25">
      <c r="A239" s="1480"/>
      <c r="B239" s="1423" t="s">
        <v>1966</v>
      </c>
      <c r="C239" s="1441">
        <v>321</v>
      </c>
      <c r="D239" s="3960">
        <v>158902</v>
      </c>
      <c r="E239" s="1481">
        <f>+'SOLDURI BILANT'!F94+'SOLDURI BILANT'!F95+'SOLDURI BILANT'!F96+'SOLDURI BILANT'!F97+'SOLDURI BILANT'!F98+'SOLDURI BILANT'!F99+'SOLDURI BILANT'!F100+'SOLDURI BILANT'!F101+'SOLDURI BILANT'!F102+'SOLDURI BILANT'!F103+'SOLDURI BILANT'!F104+'SOLDURI BILANT'!F105</f>
        <v>162842</v>
      </c>
      <c r="F239" s="27"/>
      <c r="G239" s="27"/>
    </row>
    <row r="240" spans="1:7" ht="28.5">
      <c r="A240" s="1480"/>
      <c r="B240" s="1423" t="s">
        <v>614</v>
      </c>
      <c r="C240" s="1441">
        <v>322</v>
      </c>
      <c r="D240" s="3960">
        <v>240367</v>
      </c>
      <c r="E240" s="1481">
        <f>+'SOLDURI BILANT'!F85+'SOLDURI BILANT'!F86+'SOLDURI BILANT'!F88+'SOLDURI BILANT'!F89+'SOLDURI BILANT'!F90</f>
        <v>250124</v>
      </c>
      <c r="F240" s="200" t="str">
        <f>IF(D240&lt;&gt;'ANEXA 1'!D75,"eroare"," ")</f>
        <v xml:space="preserve"> </v>
      </c>
      <c r="G240" s="200" t="str">
        <f>IF(E240&lt;&gt;'ANEXA 1'!E75,"eroare"," ")</f>
        <v xml:space="preserve"> </v>
      </c>
    </row>
    <row r="241" spans="1:9" ht="42.75">
      <c r="A241" s="1480"/>
      <c r="B241" s="1424" t="s">
        <v>615</v>
      </c>
      <c r="C241" s="1441">
        <v>323</v>
      </c>
      <c r="D241" s="1430"/>
      <c r="E241" s="1481"/>
      <c r="F241" s="200" t="str">
        <f>IF(D241&lt;&gt;'ANEXA 1'!D76,"eroare"," ")</f>
        <v xml:space="preserve"> </v>
      </c>
      <c r="G241" s="200" t="str">
        <f>IF(E241&lt;&gt;'ANEXA 1'!E76,"eroare"," ")</f>
        <v xml:space="preserve"> </v>
      </c>
    </row>
    <row r="242" spans="1:9">
      <c r="A242" s="1480"/>
      <c r="B242" s="1412" t="s">
        <v>616</v>
      </c>
      <c r="C242" s="1441">
        <v>324</v>
      </c>
      <c r="D242" s="1429">
        <f>+D239+D240+D241</f>
        <v>399269</v>
      </c>
      <c r="E242" s="1481">
        <f>+E239+E240+E241</f>
        <v>412966</v>
      </c>
    </row>
    <row r="243" spans="1:9" ht="31.5" customHeight="1" thickBot="1">
      <c r="A243" s="1492"/>
      <c r="B243" s="1426" t="s">
        <v>2161</v>
      </c>
      <c r="C243" s="1443">
        <v>330</v>
      </c>
      <c r="D243" s="1451"/>
      <c r="E243" s="1495"/>
    </row>
    <row r="244" spans="1:9" ht="57">
      <c r="A244" s="1496"/>
      <c r="B244" s="1459" t="s">
        <v>617</v>
      </c>
      <c r="C244" s="1446">
        <v>331</v>
      </c>
      <c r="D244" s="1447"/>
      <c r="E244" s="1490"/>
    </row>
    <row r="245" spans="1:9">
      <c r="A245" s="1480"/>
      <c r="B245" s="1412" t="s">
        <v>618</v>
      </c>
      <c r="C245" s="1441">
        <v>332</v>
      </c>
      <c r="D245" s="1429"/>
      <c r="E245" s="1481"/>
    </row>
    <row r="246" spans="1:9" ht="42.75">
      <c r="A246" s="1480"/>
      <c r="B246" s="1423" t="s">
        <v>619</v>
      </c>
      <c r="C246" s="1441">
        <v>332.1</v>
      </c>
      <c r="D246" s="3960">
        <v>5226428</v>
      </c>
      <c r="E246" s="1481">
        <f>'SOLDURI BILANT'!F21+'SOLDURI BILANT'!F22+'SOLDURI BILANT'!F23</f>
        <v>7332776</v>
      </c>
      <c r="F246" s="200" t="str">
        <f>IF(D246&lt;&gt;'ANEXA 1'!D60,"eroare"," ")</f>
        <v xml:space="preserve"> </v>
      </c>
      <c r="G246" s="200" t="str">
        <f>IF(E246&lt;&gt;'ANEXA 1'!E60,"eroare"," ")</f>
        <v xml:space="preserve"> </v>
      </c>
    </row>
    <row r="247" spans="1:9" ht="28.5">
      <c r="A247" s="1480"/>
      <c r="B247" s="1423" t="s">
        <v>620</v>
      </c>
      <c r="C247" s="1441">
        <v>332.2</v>
      </c>
      <c r="D247" s="1430"/>
      <c r="E247" s="1481">
        <f>+'SOLDURI BILANT'!F21</f>
        <v>0</v>
      </c>
      <c r="F247" s="1472"/>
      <c r="G247" s="1472"/>
    </row>
    <row r="248" spans="1:9" ht="42.75">
      <c r="A248" s="1480"/>
      <c r="B248" s="1423" t="s">
        <v>2163</v>
      </c>
      <c r="C248" s="1441">
        <v>332.3</v>
      </c>
      <c r="D248" s="3960">
        <v>39161</v>
      </c>
      <c r="E248" s="1481">
        <f>+'SOLDURI BILANT'!F22-E250</f>
        <v>30996</v>
      </c>
    </row>
    <row r="249" spans="1:9" ht="57">
      <c r="A249" s="1480"/>
      <c r="B249" s="1423" t="s">
        <v>621</v>
      </c>
      <c r="C249" s="1441" t="s">
        <v>622</v>
      </c>
      <c r="D249" s="1430"/>
      <c r="E249" s="1481"/>
    </row>
    <row r="250" spans="1:9" ht="71.25">
      <c r="A250" s="1480"/>
      <c r="B250" s="1423" t="s">
        <v>623</v>
      </c>
      <c r="C250" s="1441" t="s">
        <v>624</v>
      </c>
      <c r="D250" s="3960">
        <v>729</v>
      </c>
      <c r="E250" s="1481">
        <f>PROVIZIOANE!E18</f>
        <v>864</v>
      </c>
    </row>
    <row r="251" spans="1:9" ht="42.75">
      <c r="A251" s="1480"/>
      <c r="B251" s="1423" t="s">
        <v>625</v>
      </c>
      <c r="C251" s="1441">
        <v>333</v>
      </c>
      <c r="D251" s="1429">
        <f>D252+D253+D254+D255</f>
        <v>0</v>
      </c>
      <c r="E251" s="1481">
        <f>'SOLDURI BILANT'!F18+'SOLDURI BILANT'!F19+'SOLDURI BILANT'!F20</f>
        <v>0</v>
      </c>
      <c r="F251" s="200" t="str">
        <f>IF(D251&lt;&gt;'ANEXA 1'!D79,"eroare"," ")</f>
        <v xml:space="preserve"> </v>
      </c>
      <c r="G251" s="200" t="str">
        <f>IF(E251&lt;&gt;'ANEXA 1'!E79,"eroare"," ")</f>
        <v xml:space="preserve"> </v>
      </c>
    </row>
    <row r="252" spans="1:9" ht="28.5">
      <c r="A252" s="1480"/>
      <c r="B252" s="1423" t="s">
        <v>626</v>
      </c>
      <c r="C252" s="1441">
        <v>333.1</v>
      </c>
      <c r="D252" s="1429"/>
      <c r="E252" s="1481">
        <f>+'SOLDURI BILANT'!F18</f>
        <v>0</v>
      </c>
    </row>
    <row r="253" spans="1:9" ht="42.75">
      <c r="A253" s="1480"/>
      <c r="B253" s="1423" t="s">
        <v>2162</v>
      </c>
      <c r="C253" s="1441">
        <v>333.2</v>
      </c>
      <c r="D253" s="1430"/>
      <c r="E253" s="1481">
        <f>+'SOLDURI BILANT'!F19-E255</f>
        <v>0</v>
      </c>
    </row>
    <row r="254" spans="1:9" ht="57">
      <c r="A254" s="1480"/>
      <c r="B254" s="1425" t="s">
        <v>627</v>
      </c>
      <c r="C254" s="1442" t="s">
        <v>628</v>
      </c>
      <c r="D254" s="1430"/>
      <c r="E254" s="1481"/>
    </row>
    <row r="255" spans="1:9" ht="71.25">
      <c r="A255" s="1480"/>
      <c r="B255" s="1425" t="s">
        <v>629</v>
      </c>
      <c r="C255" s="1442" t="s">
        <v>630</v>
      </c>
      <c r="D255" s="1430"/>
      <c r="E255" s="1481">
        <f>PROVIZIOANE!E17</f>
        <v>0</v>
      </c>
    </row>
    <row r="256" spans="1:9">
      <c r="A256" s="1482" t="s">
        <v>631</v>
      </c>
      <c r="B256" s="1417" t="s">
        <v>632</v>
      </c>
      <c r="C256" s="1437">
        <v>335</v>
      </c>
      <c r="D256" s="1428"/>
      <c r="E256" s="1483"/>
      <c r="F256" s="202"/>
      <c r="G256" s="202"/>
      <c r="H256" s="203"/>
      <c r="I256" s="203"/>
    </row>
    <row r="257" spans="1:9" ht="57">
      <c r="A257" s="1480"/>
      <c r="B257" s="1412" t="s">
        <v>2164</v>
      </c>
      <c r="C257" s="1441">
        <v>336</v>
      </c>
      <c r="D257" s="1429">
        <f>D258+D259+D263+D264</f>
        <v>0</v>
      </c>
      <c r="E257" s="1481">
        <f>E258+E259+E263+E264</f>
        <v>0</v>
      </c>
      <c r="F257" s="26"/>
      <c r="G257" s="26"/>
      <c r="H257" s="203"/>
      <c r="I257" s="203"/>
    </row>
    <row r="258" spans="1:9">
      <c r="A258" s="1480"/>
      <c r="B258" s="1412" t="s">
        <v>478</v>
      </c>
      <c r="C258" s="1441">
        <v>337</v>
      </c>
      <c r="D258" s="1429"/>
      <c r="E258" s="1481"/>
      <c r="F258" s="202"/>
      <c r="G258" s="202"/>
      <c r="H258" s="203"/>
      <c r="I258" s="203"/>
    </row>
    <row r="259" spans="1:9">
      <c r="A259" s="1480"/>
      <c r="B259" s="1412" t="s">
        <v>633</v>
      </c>
      <c r="C259" s="1441">
        <f t="shared" ref="C259:C264" si="2">C258+1</f>
        <v>338</v>
      </c>
      <c r="D259" s="1429">
        <f>D260+D261+D262</f>
        <v>0</v>
      </c>
      <c r="E259" s="1481">
        <f>E260+E261+E262</f>
        <v>0</v>
      </c>
      <c r="F259" s="202"/>
      <c r="G259" s="202"/>
      <c r="H259" s="203"/>
      <c r="I259" s="203"/>
    </row>
    <row r="260" spans="1:9" ht="28.5">
      <c r="A260" s="1480"/>
      <c r="B260" s="1412" t="s">
        <v>533</v>
      </c>
      <c r="C260" s="1441">
        <f t="shared" si="2"/>
        <v>339</v>
      </c>
      <c r="D260" s="1429"/>
      <c r="E260" s="1481"/>
      <c r="F260" s="202"/>
      <c r="G260" s="202"/>
      <c r="H260" s="203"/>
      <c r="I260" s="203"/>
    </row>
    <row r="261" spans="1:9" ht="28.5">
      <c r="A261" s="1480"/>
      <c r="B261" s="1412" t="s">
        <v>523</v>
      </c>
      <c r="C261" s="1441">
        <f t="shared" si="2"/>
        <v>340</v>
      </c>
      <c r="D261" s="1429"/>
      <c r="E261" s="1481"/>
      <c r="F261" s="202"/>
      <c r="G261" s="202"/>
      <c r="H261" s="203"/>
      <c r="I261" s="203"/>
    </row>
    <row r="262" spans="1:9">
      <c r="A262" s="1480"/>
      <c r="B262" s="1412" t="s">
        <v>524</v>
      </c>
      <c r="C262" s="1441">
        <f t="shared" si="2"/>
        <v>341</v>
      </c>
      <c r="D262" s="1429"/>
      <c r="E262" s="1481"/>
      <c r="F262" s="202"/>
      <c r="G262" s="202"/>
      <c r="H262" s="203"/>
      <c r="I262" s="203"/>
    </row>
    <row r="263" spans="1:9" ht="42.75">
      <c r="A263" s="1480"/>
      <c r="B263" s="1412" t="s">
        <v>525</v>
      </c>
      <c r="C263" s="1441">
        <f t="shared" si="2"/>
        <v>342</v>
      </c>
      <c r="D263" s="1429"/>
      <c r="E263" s="1481"/>
      <c r="F263" s="202"/>
      <c r="G263" s="202"/>
      <c r="H263" s="203"/>
      <c r="I263" s="203"/>
    </row>
    <row r="264" spans="1:9" ht="42.75">
      <c r="A264" s="1480"/>
      <c r="B264" s="1412" t="s">
        <v>477</v>
      </c>
      <c r="C264" s="1441">
        <f t="shared" si="2"/>
        <v>343</v>
      </c>
      <c r="D264" s="1429"/>
      <c r="E264" s="1481"/>
      <c r="F264" s="202"/>
      <c r="G264" s="202"/>
      <c r="H264" s="203"/>
      <c r="I264" s="203"/>
    </row>
    <row r="265" spans="1:9" ht="42.75">
      <c r="A265" s="1480"/>
      <c r="B265" s="1412" t="s">
        <v>2165</v>
      </c>
      <c r="C265" s="1441">
        <v>344</v>
      </c>
      <c r="D265" s="1429"/>
      <c r="E265" s="1481"/>
      <c r="F265" s="26"/>
      <c r="G265" s="26"/>
      <c r="H265" s="203"/>
      <c r="I265" s="203"/>
    </row>
    <row r="266" spans="1:9" ht="43.5" thickBot="1">
      <c r="A266" s="1492"/>
      <c r="B266" s="1444" t="s">
        <v>2166</v>
      </c>
      <c r="C266" s="1443">
        <v>345</v>
      </c>
      <c r="D266" s="1435"/>
      <c r="E266" s="1488"/>
      <c r="F266" s="26"/>
      <c r="G266" s="26"/>
      <c r="H266" s="203"/>
      <c r="I266" s="203"/>
    </row>
    <row r="267" spans="1:9" ht="57">
      <c r="A267" s="1496"/>
      <c r="B267" s="1445" t="s">
        <v>2167</v>
      </c>
      <c r="C267" s="1446">
        <v>346</v>
      </c>
      <c r="D267" s="1460"/>
      <c r="E267" s="1499"/>
      <c r="F267" s="26"/>
      <c r="G267" s="26"/>
      <c r="H267" s="203"/>
      <c r="I267" s="203"/>
    </row>
    <row r="268" spans="1:9" ht="57">
      <c r="A268" s="1480"/>
      <c r="B268" s="1412" t="s">
        <v>2168</v>
      </c>
      <c r="C268" s="1441">
        <v>347</v>
      </c>
      <c r="D268" s="1429">
        <f>D269+D270+D271</f>
        <v>0</v>
      </c>
      <c r="E268" s="1481">
        <f>E269+E270+E271</f>
        <v>0</v>
      </c>
      <c r="F268" s="26"/>
      <c r="G268" s="26"/>
      <c r="H268" s="203"/>
      <c r="I268" s="203"/>
    </row>
    <row r="269" spans="1:9" ht="28.5">
      <c r="A269" s="1480"/>
      <c r="B269" s="1412" t="s">
        <v>562</v>
      </c>
      <c r="C269" s="1441">
        <v>348</v>
      </c>
      <c r="D269" s="1429"/>
      <c r="E269" s="1481"/>
      <c r="F269" s="202"/>
      <c r="G269" s="202"/>
      <c r="H269" s="203"/>
      <c r="I269" s="203"/>
    </row>
    <row r="270" spans="1:9" ht="42.75">
      <c r="A270" s="1480"/>
      <c r="B270" s="1412" t="s">
        <v>525</v>
      </c>
      <c r="C270" s="1441">
        <v>349</v>
      </c>
      <c r="D270" s="1429"/>
      <c r="E270" s="1481"/>
      <c r="F270" s="202"/>
      <c r="G270" s="202"/>
      <c r="H270" s="203"/>
      <c r="I270" s="203"/>
    </row>
    <row r="271" spans="1:9" ht="42.75">
      <c r="A271" s="1480"/>
      <c r="B271" s="1412" t="s">
        <v>477</v>
      </c>
      <c r="C271" s="1441">
        <v>350</v>
      </c>
      <c r="D271" s="1429"/>
      <c r="E271" s="1481"/>
      <c r="F271" s="202"/>
      <c r="G271" s="202"/>
      <c r="H271" s="203"/>
      <c r="I271" s="203"/>
    </row>
    <row r="272" spans="1:9" ht="42.75">
      <c r="A272" s="1480"/>
      <c r="B272" s="1412" t="s">
        <v>2169</v>
      </c>
      <c r="C272" s="1441">
        <v>351</v>
      </c>
      <c r="D272" s="1429">
        <f>D273+D274+D275</f>
        <v>0</v>
      </c>
      <c r="E272" s="1481">
        <f>E273+E274+E275</f>
        <v>0</v>
      </c>
      <c r="F272" s="26"/>
      <c r="G272" s="26"/>
      <c r="H272" s="203"/>
      <c r="I272" s="203"/>
    </row>
    <row r="273" spans="1:9" ht="28.5">
      <c r="A273" s="1480"/>
      <c r="B273" s="1412" t="s">
        <v>562</v>
      </c>
      <c r="C273" s="1441">
        <v>352</v>
      </c>
      <c r="D273" s="1429"/>
      <c r="E273" s="1481"/>
      <c r="F273" s="202"/>
      <c r="G273" s="202"/>
      <c r="H273" s="203"/>
      <c r="I273" s="203"/>
    </row>
    <row r="274" spans="1:9" ht="42.75">
      <c r="A274" s="1480"/>
      <c r="B274" s="1412" t="s">
        <v>525</v>
      </c>
      <c r="C274" s="1441">
        <v>353</v>
      </c>
      <c r="D274" s="1429"/>
      <c r="E274" s="1481"/>
      <c r="F274" s="202"/>
      <c r="G274" s="202"/>
      <c r="H274" s="203"/>
      <c r="I274" s="203"/>
    </row>
    <row r="275" spans="1:9" ht="42.75">
      <c r="A275" s="1480"/>
      <c r="B275" s="1412" t="s">
        <v>477</v>
      </c>
      <c r="C275" s="1441">
        <v>354</v>
      </c>
      <c r="D275" s="1429"/>
      <c r="E275" s="1481"/>
      <c r="F275" s="202"/>
      <c r="G275" s="202"/>
      <c r="H275" s="203"/>
      <c r="I275" s="203"/>
    </row>
    <row r="276" spans="1:9">
      <c r="A276" s="1480"/>
      <c r="B276" s="1412" t="s">
        <v>634</v>
      </c>
      <c r="C276" s="1441">
        <v>355</v>
      </c>
      <c r="D276" s="1429"/>
      <c r="E276" s="1481"/>
      <c r="F276" s="26"/>
      <c r="G276" s="26"/>
      <c r="H276" s="203"/>
      <c r="I276" s="203"/>
    </row>
    <row r="277" spans="1:9" ht="13.5" customHeight="1">
      <c r="A277" s="1500"/>
      <c r="B277" s="1501" t="s">
        <v>635</v>
      </c>
      <c r="C277" s="1502">
        <v>375</v>
      </c>
      <c r="D277" s="1503">
        <f>D257+D265+D266+D267+D268+D272+D276</f>
        <v>0</v>
      </c>
      <c r="E277" s="1504">
        <f>E257+E265+E266+E267+E268+E272+E276</f>
        <v>0</v>
      </c>
      <c r="F277" s="26"/>
      <c r="G277" s="26"/>
      <c r="H277" s="203"/>
      <c r="I277" s="203"/>
    </row>
    <row r="278" spans="1:9">
      <c r="A278" s="204"/>
      <c r="B278" s="205"/>
      <c r="C278" s="206"/>
      <c r="D278" s="207"/>
      <c r="E278" s="208"/>
    </row>
    <row r="279" spans="1:9">
      <c r="A279" s="204"/>
      <c r="B279" s="205" t="s">
        <v>636</v>
      </c>
      <c r="C279" s="206"/>
      <c r="D279" s="207"/>
      <c r="E279" s="208"/>
    </row>
    <row r="280" spans="1:9" ht="18.75" thickBot="1">
      <c r="A280" s="204"/>
      <c r="B280" s="206"/>
      <c r="C280" s="205"/>
      <c r="D280" s="208"/>
      <c r="E280" s="208"/>
    </row>
    <row r="281" spans="1:9">
      <c r="A281" s="204"/>
      <c r="B281" s="1396" t="s">
        <v>2101</v>
      </c>
      <c r="C281" s="1397" t="s">
        <v>637</v>
      </c>
      <c r="D281" s="1398" t="s">
        <v>638</v>
      </c>
      <c r="E281" s="1399" t="s">
        <v>639</v>
      </c>
    </row>
    <row r="282" spans="1:9">
      <c r="A282" s="204"/>
      <c r="B282" s="1400" t="s">
        <v>640</v>
      </c>
      <c r="C282" s="1389" t="s">
        <v>641</v>
      </c>
      <c r="D282" s="1390" t="s">
        <v>642</v>
      </c>
      <c r="E282" s="1401"/>
    </row>
    <row r="283" spans="1:9">
      <c r="A283" s="204"/>
      <c r="B283" s="1402" t="s">
        <v>643</v>
      </c>
      <c r="C283" s="1391"/>
      <c r="D283" s="1390"/>
      <c r="E283" s="1403" t="s">
        <v>644</v>
      </c>
    </row>
    <row r="284" spans="1:9">
      <c r="A284" s="204"/>
      <c r="B284" s="1402" t="s">
        <v>645</v>
      </c>
      <c r="C284" s="1391"/>
      <c r="D284" s="1390"/>
      <c r="E284" s="1403" t="s">
        <v>646</v>
      </c>
    </row>
    <row r="285" spans="1:9">
      <c r="A285" s="204"/>
      <c r="B285" s="1402" t="s">
        <v>647</v>
      </c>
      <c r="C285" s="1392"/>
      <c r="D285" s="1393"/>
      <c r="E285" s="1401" t="s">
        <v>648</v>
      </c>
    </row>
    <row r="286" spans="1:9">
      <c r="A286" s="204"/>
      <c r="B286" s="1404" t="s">
        <v>649</v>
      </c>
      <c r="C286" s="1394"/>
      <c r="D286" s="1395"/>
      <c r="E286" s="1401" t="s">
        <v>650</v>
      </c>
    </row>
    <row r="287" spans="1:9">
      <c r="A287" s="204"/>
      <c r="B287" s="1404" t="s">
        <v>651</v>
      </c>
      <c r="C287" s="1391"/>
      <c r="D287" s="1390"/>
      <c r="E287" s="1403" t="s">
        <v>652</v>
      </c>
    </row>
    <row r="288" spans="1:9">
      <c r="A288" s="204"/>
      <c r="B288" s="1402" t="s">
        <v>653</v>
      </c>
      <c r="C288" s="1391"/>
      <c r="D288" s="1390"/>
      <c r="E288" s="1403" t="s">
        <v>654</v>
      </c>
    </row>
    <row r="289" spans="1:5" s="192" customFormat="1" ht="24">
      <c r="A289" s="204"/>
      <c r="B289" s="1404" t="s">
        <v>655</v>
      </c>
      <c r="C289" s="1391"/>
      <c r="D289" s="1390"/>
      <c r="E289" s="1403" t="s">
        <v>656</v>
      </c>
    </row>
    <row r="290" spans="1:5" s="192" customFormat="1" ht="14.25">
      <c r="A290" s="204"/>
      <c r="B290" s="1404" t="s">
        <v>657</v>
      </c>
      <c r="C290" s="1391"/>
      <c r="D290" s="1390"/>
      <c r="E290" s="1403" t="s">
        <v>658</v>
      </c>
    </row>
    <row r="291" spans="1:5" s="192" customFormat="1" ht="14.25">
      <c r="A291" s="204"/>
      <c r="B291" s="1404" t="s">
        <v>659</v>
      </c>
      <c r="C291" s="1391"/>
      <c r="D291" s="1390"/>
      <c r="E291" s="1403" t="s">
        <v>660</v>
      </c>
    </row>
    <row r="292" spans="1:5" s="192" customFormat="1" ht="14.25">
      <c r="A292" s="204"/>
      <c r="B292" s="1404" t="s">
        <v>661</v>
      </c>
      <c r="C292" s="1391"/>
      <c r="D292" s="1390"/>
      <c r="E292" s="1403" t="s">
        <v>662</v>
      </c>
    </row>
    <row r="293" spans="1:5" s="192" customFormat="1" ht="14.25">
      <c r="A293" s="204"/>
      <c r="B293" s="1402" t="s">
        <v>663</v>
      </c>
      <c r="C293" s="1391"/>
      <c r="D293" s="1390"/>
      <c r="E293" s="1403" t="s">
        <v>664</v>
      </c>
    </row>
    <row r="294" spans="1:5" s="192" customFormat="1" ht="14.25">
      <c r="A294" s="204"/>
      <c r="B294" s="1402" t="s">
        <v>665</v>
      </c>
      <c r="C294" s="1392"/>
      <c r="D294" s="1393"/>
      <c r="E294" s="1401" t="s">
        <v>666</v>
      </c>
    </row>
    <row r="295" spans="1:5" s="192" customFormat="1" ht="14.25">
      <c r="A295" s="204"/>
      <c r="B295" s="1402" t="s">
        <v>667</v>
      </c>
      <c r="C295" s="1392"/>
      <c r="D295" s="1393"/>
      <c r="E295" s="1401" t="s">
        <v>668</v>
      </c>
    </row>
    <row r="296" spans="1:5" s="192" customFormat="1" ht="14.25">
      <c r="A296" s="209"/>
      <c r="B296" s="1402" t="s">
        <v>669</v>
      </c>
      <c r="C296" s="1392"/>
      <c r="D296" s="1393"/>
      <c r="E296" s="1401" t="s">
        <v>670</v>
      </c>
    </row>
    <row r="297" spans="1:5" s="192" customFormat="1" ht="14.25">
      <c r="A297" s="209"/>
      <c r="B297" s="1402" t="s">
        <v>671</v>
      </c>
      <c r="C297" s="4080"/>
      <c r="D297" s="4080"/>
      <c r="E297" s="1403" t="s">
        <v>672</v>
      </c>
    </row>
    <row r="298" spans="1:5" s="192" customFormat="1" ht="14.25">
      <c r="A298" s="209"/>
      <c r="B298" s="1402" t="s">
        <v>673</v>
      </c>
      <c r="C298" s="1391"/>
      <c r="D298" s="1390"/>
      <c r="E298" s="1403" t="s">
        <v>674</v>
      </c>
    </row>
    <row r="299" spans="1:5" s="192" customFormat="1" ht="14.25">
      <c r="A299" s="209"/>
      <c r="B299" s="1402" t="s">
        <v>675</v>
      </c>
      <c r="C299" s="1391"/>
      <c r="D299" s="1390"/>
      <c r="E299" s="1403" t="s">
        <v>676</v>
      </c>
    </row>
    <row r="300" spans="1:5" s="192" customFormat="1" ht="14.25">
      <c r="A300" s="209"/>
      <c r="B300" s="1405" t="s">
        <v>677</v>
      </c>
      <c r="C300" s="1391"/>
      <c r="D300" s="1393"/>
      <c r="E300" s="1401" t="s">
        <v>678</v>
      </c>
    </row>
    <row r="301" spans="1:5" s="192" customFormat="1" ht="14.25">
      <c r="A301" s="209"/>
      <c r="B301" s="1405" t="s">
        <v>679</v>
      </c>
      <c r="C301" s="1391"/>
      <c r="D301" s="1393"/>
      <c r="E301" s="1401" t="s">
        <v>680</v>
      </c>
    </row>
    <row r="302" spans="1:5" s="192" customFormat="1" ht="24.75" thickBot="1">
      <c r="A302" s="209"/>
      <c r="B302" s="1406" t="s">
        <v>681</v>
      </c>
      <c r="C302" s="1407"/>
      <c r="D302" s="1408"/>
      <c r="E302" s="1409" t="s">
        <v>682</v>
      </c>
    </row>
    <row r="303" spans="1:5" s="192" customFormat="1" ht="14.25">
      <c r="A303" s="209"/>
      <c r="B303" s="210"/>
      <c r="C303" s="204"/>
      <c r="D303" s="211"/>
      <c r="E303" s="193"/>
    </row>
    <row r="304" spans="1:5" s="192" customFormat="1" ht="14.25">
      <c r="A304" s="209"/>
      <c r="B304" s="210"/>
      <c r="C304" s="210"/>
      <c r="D304" s="212"/>
      <c r="E304" s="211"/>
    </row>
    <row r="305" spans="1:7" ht="15.75">
      <c r="A305" s="209"/>
      <c r="B305" s="91" t="str">
        <f>'ANEXA 1'!B94</f>
        <v>DIRECTOR  GENERAL,</v>
      </c>
      <c r="C305" s="213"/>
      <c r="D305" s="4003" t="str">
        <f>'ANEXA 1'!D94:E94</f>
        <v>DIRECTOR  EXECUTIV  ECONOMIC,</v>
      </c>
      <c r="E305" s="4003"/>
      <c r="F305" s="192"/>
      <c r="G305" s="192"/>
    </row>
    <row r="306" spans="1:7" ht="15">
      <c r="D306" s="328"/>
      <c r="E306" s="328"/>
      <c r="F306" s="192"/>
      <c r="G306" s="192"/>
    </row>
    <row r="307" spans="1:7" ht="15.75">
      <c r="B307" s="37" t="str">
        <f>'ANEXA 1'!B96</f>
        <v>EC.ALBU DRINA</v>
      </c>
      <c r="D307" s="4011" t="str">
        <f>'ANEXA 1'!D96</f>
        <v>EC.BIRCU FLORINA</v>
      </c>
      <c r="E307" s="4011"/>
      <c r="F307" s="192"/>
      <c r="G307" s="192"/>
    </row>
    <row r="308" spans="1:7" ht="15.75">
      <c r="B308" s="1904">
        <f>'ANEXA 1'!B97</f>
        <v>0</v>
      </c>
      <c r="D308" s="1905"/>
      <c r="E308" s="1905"/>
      <c r="F308" s="192"/>
      <c r="G308" s="192"/>
    </row>
    <row r="309" spans="1:7" ht="14.25">
      <c r="B309" s="1056"/>
      <c r="F309" s="192"/>
      <c r="G309" s="192"/>
    </row>
    <row r="310" spans="1:7" ht="15">
      <c r="B310" s="1594">
        <f>+'ANEXA 1'!B99</f>
        <v>0</v>
      </c>
      <c r="D310" s="4078">
        <f>'ANEXA 1'!D99</f>
        <v>0</v>
      </c>
      <c r="E310" s="4078"/>
      <c r="F310" s="192"/>
      <c r="G310" s="192"/>
    </row>
    <row r="311" spans="1:7" ht="15">
      <c r="B311" s="1559"/>
      <c r="D311" s="1560"/>
      <c r="E311" s="1560"/>
      <c r="F311" s="192"/>
      <c r="G311" s="192"/>
    </row>
    <row r="312" spans="1:7" ht="15">
      <c r="B312" s="1559">
        <f>+'ANEXA 1'!B101</f>
        <v>0</v>
      </c>
      <c r="D312" s="4078">
        <f>'ANEXA 1'!D101:E101</f>
        <v>0</v>
      </c>
      <c r="E312" s="4078"/>
      <c r="F312" s="192"/>
      <c r="G312" s="192"/>
    </row>
    <row r="313" spans="1:7" ht="14.25">
      <c r="D313" s="1054"/>
      <c r="F313" s="192"/>
      <c r="G313" s="192"/>
    </row>
    <row r="314" spans="1:7" ht="14.25">
      <c r="D314" s="1054"/>
      <c r="F314" s="192"/>
      <c r="G314" s="192"/>
    </row>
    <row r="315" spans="1:7" ht="14.25">
      <c r="D315" s="1054"/>
      <c r="F315" s="192"/>
      <c r="G315" s="192"/>
    </row>
    <row r="316" spans="1:7" ht="13.5" customHeight="1">
      <c r="D316" s="1059"/>
      <c r="F316" s="192"/>
      <c r="G316" s="192"/>
    </row>
  </sheetData>
  <sheetProtection password="CFDD" sheet="1" objects="1" scenarios="1"/>
  <mergeCells count="12">
    <mergeCell ref="A1:E1"/>
    <mergeCell ref="A8:A9"/>
    <mergeCell ref="B8:B9"/>
    <mergeCell ref="C8:C9"/>
    <mergeCell ref="A4:E4"/>
    <mergeCell ref="D310:E310"/>
    <mergeCell ref="D312:E312"/>
    <mergeCell ref="A5:E5"/>
    <mergeCell ref="D307:E307"/>
    <mergeCell ref="C297:D297"/>
    <mergeCell ref="D305:E305"/>
    <mergeCell ref="A6:E6"/>
  </mergeCells>
  <phoneticPr fontId="0" type="noConversion"/>
  <dataValidations count="1">
    <dataValidation type="whole" allowBlank="1" showErrorMessage="1" sqref="D11:E277">
      <formula1>-9.99999999999999E+31</formula1>
      <formula2>9.99999999999999E+30</formula2>
    </dataValidation>
  </dataValidations>
  <pageMargins left="0.74803149606299213" right="0.15748031496062992" top="0.70866141732283472" bottom="0.55118110236220474" header="0.70866141732283472" footer="0.55118110236220474"/>
  <pageSetup paperSize="9" scale="75" firstPageNumber="0" orientation="portrait" r:id="rId1"/>
  <headerFooter alignWithMargins="0">
    <oddFooter>&amp;C&amp;A&amp;RPage &amp;P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9">
    <tabColor rgb="FF009900"/>
  </sheetPr>
  <dimension ref="A1:AD130"/>
  <sheetViews>
    <sheetView showZeros="0" zoomScaleNormal="100" workbookViewId="0">
      <pane xSplit="2" ySplit="9" topLeftCell="C10" activePane="bottomRight" state="frozen"/>
      <selection sqref="A1:E1"/>
      <selection pane="topRight" sqref="A1:E1"/>
      <selection pane="bottomLeft" sqref="A1:E1"/>
      <selection pane="bottomRight" activeCell="H10" sqref="H10"/>
    </sheetView>
  </sheetViews>
  <sheetFormatPr defaultColWidth="9.140625" defaultRowHeight="12.75"/>
  <cols>
    <col min="1" max="1" width="46.140625" style="216" customWidth="1"/>
    <col min="2" max="2" width="10.28515625" style="1232" customWidth="1"/>
    <col min="3" max="5" width="17.7109375" style="216" customWidth="1"/>
    <col min="6" max="6" width="16.28515625" style="216" customWidth="1"/>
    <col min="7" max="8" width="17.7109375" style="216" customWidth="1"/>
    <col min="9" max="9" width="16" style="216" customWidth="1"/>
    <col min="10" max="10" width="17.7109375" style="216" customWidth="1"/>
    <col min="11" max="11" width="13.28515625" style="216" customWidth="1"/>
    <col min="12" max="12" width="12.7109375" style="1215" customWidth="1"/>
    <col min="13" max="13" width="11.140625" style="216" customWidth="1"/>
    <col min="14" max="14" width="12.7109375" style="216" customWidth="1"/>
    <col min="15" max="16" width="17.7109375" style="1216" customWidth="1"/>
    <col min="17" max="26" width="16.5703125" style="216" customWidth="1"/>
    <col min="27" max="28" width="14" style="216" customWidth="1"/>
    <col min="29" max="29" width="16.5703125" style="216" customWidth="1"/>
    <col min="30" max="16384" width="9.140625" style="216"/>
  </cols>
  <sheetData>
    <row r="1" spans="1:29" ht="15">
      <c r="A1" s="4094" t="str">
        <f>'ANEXA 1'!A1</f>
        <v>CASA  DE  ASIGURĂRI  DE  SĂNĂTATE MEHEDINTI</v>
      </c>
      <c r="B1" s="4094"/>
      <c r="C1" s="4094"/>
      <c r="D1" s="4094"/>
      <c r="E1" s="4094"/>
    </row>
    <row r="2" spans="1:29" s="218" customFormat="1">
      <c r="B2" s="1217"/>
      <c r="L2" s="1218"/>
      <c r="O2" s="1219"/>
      <c r="P2" s="1219"/>
    </row>
    <row r="3" spans="1:29" s="218" customFormat="1">
      <c r="A3" s="4095" t="s">
        <v>683</v>
      </c>
      <c r="B3" s="4095"/>
      <c r="C3" s="4095"/>
      <c r="D3" s="4095"/>
      <c r="E3" s="4095"/>
      <c r="F3" s="4095"/>
      <c r="G3" s="4095"/>
      <c r="H3" s="4095"/>
      <c r="I3" s="4095"/>
      <c r="J3" s="4095"/>
      <c r="L3" s="1218"/>
      <c r="O3" s="1219"/>
      <c r="P3" s="1219"/>
    </row>
    <row r="4" spans="1:29" s="218" customFormat="1">
      <c r="A4" s="4095" t="str">
        <f>'ANEXA 1'!A12</f>
        <v>la  data  de  30  IUNIE  2023</v>
      </c>
      <c r="B4" s="4095"/>
      <c r="C4" s="4095"/>
      <c r="D4" s="4095"/>
      <c r="E4" s="4095"/>
      <c r="F4" s="4095"/>
      <c r="G4" s="4095"/>
      <c r="H4" s="4095"/>
      <c r="I4" s="4095"/>
      <c r="J4" s="4095"/>
      <c r="K4" s="220"/>
      <c r="L4" s="1218"/>
      <c r="O4" s="1219"/>
      <c r="P4" s="1219"/>
    </row>
    <row r="5" spans="1:29" s="218" customFormat="1">
      <c r="B5" s="1217"/>
      <c r="L5" s="1218"/>
      <c r="O5" s="1219"/>
      <c r="P5" s="1219"/>
    </row>
    <row r="6" spans="1:29" s="218" customFormat="1">
      <c r="A6" s="1219" t="s">
        <v>684</v>
      </c>
      <c r="B6" s="1217"/>
      <c r="G6" s="1219"/>
      <c r="J6" s="1217" t="s">
        <v>15</v>
      </c>
      <c r="L6" s="1218"/>
      <c r="O6" s="1219"/>
      <c r="P6" s="1219"/>
    </row>
    <row r="7" spans="1:29" s="218" customFormat="1" ht="25.5" customHeight="1">
      <c r="A7" s="4096" t="s">
        <v>685</v>
      </c>
      <c r="B7" s="4098" t="s">
        <v>686</v>
      </c>
      <c r="C7" s="4098" t="s">
        <v>687</v>
      </c>
      <c r="D7" s="4098"/>
      <c r="E7" s="4098" t="s">
        <v>688</v>
      </c>
      <c r="F7" s="4098"/>
      <c r="G7" s="4098"/>
      <c r="H7" s="4098" t="s">
        <v>689</v>
      </c>
      <c r="I7" s="4098" t="s">
        <v>690</v>
      </c>
      <c r="J7" s="4100" t="s">
        <v>691</v>
      </c>
      <c r="L7" s="1218"/>
      <c r="O7" s="1219"/>
      <c r="P7" s="1219"/>
    </row>
    <row r="8" spans="1:29" s="218" customFormat="1" ht="38.25" customHeight="1">
      <c r="A8" s="4097"/>
      <c r="B8" s="4099"/>
      <c r="C8" s="3040" t="s">
        <v>2562</v>
      </c>
      <c r="D8" s="3040" t="s">
        <v>2563</v>
      </c>
      <c r="E8" s="3039" t="s">
        <v>2106</v>
      </c>
      <c r="F8" s="3040" t="s">
        <v>2107</v>
      </c>
      <c r="G8" s="3041" t="s">
        <v>692</v>
      </c>
      <c r="H8" s="4099"/>
      <c r="I8" s="4099"/>
      <c r="J8" s="4101"/>
      <c r="L8" s="1218"/>
      <c r="O8" s="1219"/>
      <c r="P8" s="1219"/>
    </row>
    <row r="9" spans="1:29" s="218" customFormat="1">
      <c r="A9" s="3619" t="s">
        <v>92</v>
      </c>
      <c r="B9" s="3620" t="s">
        <v>93</v>
      </c>
      <c r="C9" s="3620">
        <v>1</v>
      </c>
      <c r="D9" s="3620">
        <v>2</v>
      </c>
      <c r="E9" s="3621" t="s">
        <v>693</v>
      </c>
      <c r="F9" s="3621">
        <v>4</v>
      </c>
      <c r="G9" s="3621">
        <v>5</v>
      </c>
      <c r="H9" s="3621">
        <v>6</v>
      </c>
      <c r="I9" s="3621">
        <v>7</v>
      </c>
      <c r="J9" s="3622" t="s">
        <v>694</v>
      </c>
      <c r="L9" s="1218"/>
      <c r="O9" s="1219"/>
      <c r="P9" s="1219"/>
    </row>
    <row r="10" spans="1:29" s="228" customFormat="1" ht="19.5" customHeight="1">
      <c r="A10" s="3618" t="s">
        <v>695</v>
      </c>
      <c r="B10" s="3031" t="s">
        <v>696</v>
      </c>
      <c r="C10" s="2555">
        <f>ROUND(C11+C70+C93+C102+C100,1)</f>
        <v>248801580</v>
      </c>
      <c r="D10" s="2555">
        <f>ROUND(D11+D70+D93+D102+D100,1)</f>
        <v>139338580</v>
      </c>
      <c r="E10" s="2555">
        <f t="shared" ref="E10:I10" si="0">ROUND(E11+E70+E93+E102+E100,1)</f>
        <v>183517450</v>
      </c>
      <c r="F10" s="2555">
        <f t="shared" si="0"/>
        <v>54536444</v>
      </c>
      <c r="G10" s="2555">
        <f t="shared" si="0"/>
        <v>128981006</v>
      </c>
      <c r="H10" s="2555">
        <f>ROUND(H11+H70+H93+H102+H101,1)</f>
        <v>128174630</v>
      </c>
      <c r="I10" s="2555">
        <f t="shared" si="0"/>
        <v>-1661132</v>
      </c>
      <c r="J10" s="3574">
        <f>ROUND(J11+J70+J93+J102+J100,1)</f>
        <v>57003952</v>
      </c>
      <c r="K10" s="1920" t="str">
        <f>IF(I10=0,"eroare"," ")</f>
        <v xml:space="preserve"> </v>
      </c>
      <c r="L10" s="1220"/>
      <c r="O10" s="223"/>
      <c r="P10" s="223"/>
      <c r="Q10" s="223"/>
      <c r="R10" s="223"/>
      <c r="S10" s="223"/>
      <c r="T10" s="223"/>
      <c r="U10" s="223"/>
      <c r="V10" s="223"/>
      <c r="W10" s="223"/>
      <c r="X10" s="223"/>
      <c r="Y10" s="223"/>
      <c r="Z10" s="223"/>
      <c r="AA10" s="223"/>
      <c r="AB10" s="223"/>
      <c r="AC10" s="223"/>
    </row>
    <row r="11" spans="1:29" s="228" customFormat="1" ht="22.5" customHeight="1">
      <c r="A11" s="3583" t="s">
        <v>697</v>
      </c>
      <c r="B11" s="2956" t="s">
        <v>698</v>
      </c>
      <c r="C11" s="2999">
        <f>ROUND(+C12+C18+C57,)</f>
        <v>221111000</v>
      </c>
      <c r="D11" s="2999">
        <f>ROUND(+D12+D18+D57,)</f>
        <v>111648000</v>
      </c>
      <c r="E11" s="2999">
        <f>ROUND(F11+G11,1)</f>
        <v>155820243</v>
      </c>
      <c r="F11" s="2999">
        <f>ROUND(+F12+F18+F57,)</f>
        <v>54529817</v>
      </c>
      <c r="G11" s="2999">
        <f>ROUND(+G12+G18+G57,)</f>
        <v>101290426</v>
      </c>
      <c r="H11" s="2999">
        <f>ROUND(+H12+H18+H57,)</f>
        <v>101580835</v>
      </c>
      <c r="I11" s="2999">
        <f>ROUND(+I12+I18+I57,)</f>
        <v>-2757922</v>
      </c>
      <c r="J11" s="3565">
        <f>ROUND(+J12+J18+J57,)</f>
        <v>56997330</v>
      </c>
      <c r="K11" s="221"/>
      <c r="L11" s="1220"/>
      <c r="O11" s="223"/>
      <c r="P11" s="223"/>
      <c r="Q11" s="223"/>
      <c r="R11" s="223"/>
      <c r="S11" s="223"/>
      <c r="T11" s="223"/>
      <c r="U11" s="223"/>
      <c r="V11" s="223"/>
      <c r="W11" s="223"/>
      <c r="X11" s="223"/>
      <c r="Y11" s="223"/>
      <c r="Z11" s="223"/>
      <c r="AA11" s="223"/>
      <c r="AB11" s="223"/>
      <c r="AC11" s="223"/>
    </row>
    <row r="12" spans="1:29" s="228" customFormat="1" ht="27" customHeight="1">
      <c r="A12" s="3584" t="s">
        <v>699</v>
      </c>
      <c r="B12" s="2956" t="s">
        <v>700</v>
      </c>
      <c r="C12" s="2999">
        <f>C13</f>
        <v>0</v>
      </c>
      <c r="D12" s="2999">
        <f>D13</f>
        <v>0</v>
      </c>
      <c r="E12" s="2999">
        <f t="shared" ref="E12:E71" si="1">ROUND(F12+G12,1)</f>
        <v>0</v>
      </c>
      <c r="F12" s="2999">
        <f>F13</f>
        <v>0</v>
      </c>
      <c r="G12" s="2999">
        <f>G13</f>
        <v>0</v>
      </c>
      <c r="H12" s="2999">
        <f>H13</f>
        <v>0</v>
      </c>
      <c r="I12" s="2999">
        <f>I13</f>
        <v>0</v>
      </c>
      <c r="J12" s="3565">
        <f>J13</f>
        <v>0</v>
      </c>
      <c r="K12" s="221"/>
      <c r="L12" s="1220"/>
      <c r="O12" s="223"/>
      <c r="P12" s="223"/>
      <c r="Q12" s="223"/>
      <c r="R12" s="223"/>
      <c r="S12" s="223"/>
      <c r="T12" s="223"/>
      <c r="U12" s="223"/>
      <c r="V12" s="223"/>
      <c r="W12" s="223"/>
      <c r="X12" s="223"/>
      <c r="Y12" s="223"/>
      <c r="Z12" s="223"/>
      <c r="AA12" s="223"/>
      <c r="AB12" s="223"/>
      <c r="AC12" s="223"/>
    </row>
    <row r="13" spans="1:29" s="228" customFormat="1" ht="33" customHeight="1">
      <c r="A13" s="3583" t="s">
        <v>701</v>
      </c>
      <c r="B13" s="2956" t="s">
        <v>434</v>
      </c>
      <c r="C13" s="2999">
        <f>C14+C15+C16+C17</f>
        <v>0</v>
      </c>
      <c r="D13" s="2999">
        <f>D14+D15+D16+D17</f>
        <v>0</v>
      </c>
      <c r="E13" s="2999">
        <f t="shared" si="1"/>
        <v>0</v>
      </c>
      <c r="F13" s="2999">
        <f>+F14+F15+F16+F17</f>
        <v>0</v>
      </c>
      <c r="G13" s="2999">
        <f>G14+G15+G16+G17</f>
        <v>0</v>
      </c>
      <c r="H13" s="2999">
        <f>H14+H15+H16+H17</f>
        <v>0</v>
      </c>
      <c r="I13" s="2999">
        <f>I14+I15+I16+I17</f>
        <v>0</v>
      </c>
      <c r="J13" s="3565">
        <f>J14+J15+J16+J17</f>
        <v>0</v>
      </c>
      <c r="K13" s="221"/>
      <c r="L13" s="1220"/>
      <c r="O13" s="223"/>
      <c r="P13" s="223"/>
      <c r="Q13" s="223"/>
      <c r="R13" s="223"/>
      <c r="S13" s="223"/>
      <c r="T13" s="223"/>
      <c r="U13" s="223"/>
      <c r="V13" s="223"/>
      <c r="W13" s="223"/>
      <c r="X13" s="223"/>
      <c r="Y13" s="223"/>
      <c r="Z13" s="223"/>
      <c r="AA13" s="223"/>
      <c r="AB13" s="223"/>
      <c r="AC13" s="223"/>
    </row>
    <row r="14" spans="1:29" s="228" customFormat="1" ht="41.25" customHeight="1">
      <c r="A14" s="3585" t="s">
        <v>702</v>
      </c>
      <c r="B14" s="2961">
        <v>120900</v>
      </c>
      <c r="C14" s="3566"/>
      <c r="D14" s="3566"/>
      <c r="E14" s="3567">
        <f t="shared" si="1"/>
        <v>0</v>
      </c>
      <c r="F14" s="3566"/>
      <c r="G14" s="3566"/>
      <c r="H14" s="3567">
        <f>'VENITURI '!C13+'VENITURI '!D13</f>
        <v>0</v>
      </c>
      <c r="I14" s="3566"/>
      <c r="J14" s="3568">
        <f>ROUND(E14-H14-I14,1)</f>
        <v>0</v>
      </c>
      <c r="K14" s="221"/>
      <c r="L14" s="1220"/>
      <c r="O14" s="223"/>
      <c r="P14" s="223"/>
      <c r="Q14" s="223"/>
      <c r="R14" s="223"/>
      <c r="S14" s="223"/>
      <c r="T14" s="223"/>
      <c r="U14" s="223"/>
      <c r="V14" s="223"/>
      <c r="W14" s="223"/>
      <c r="X14" s="223"/>
      <c r="Y14" s="223"/>
      <c r="Z14" s="223"/>
      <c r="AA14" s="223"/>
      <c r="AB14" s="223"/>
      <c r="AC14" s="223"/>
    </row>
    <row r="15" spans="1:29" s="228" customFormat="1" ht="41.25" customHeight="1">
      <c r="A15" s="3586" t="s">
        <v>704</v>
      </c>
      <c r="B15" s="2961">
        <v>121000</v>
      </c>
      <c r="C15" s="3567"/>
      <c r="D15" s="3567"/>
      <c r="E15" s="3567">
        <f t="shared" si="1"/>
        <v>0</v>
      </c>
      <c r="F15" s="3566"/>
      <c r="G15" s="3566"/>
      <c r="H15" s="3567">
        <f>'VENITURI '!C14+'VENITURI '!D14</f>
        <v>0</v>
      </c>
      <c r="I15" s="3566"/>
      <c r="J15" s="3568">
        <f>ROUND(E15-H15-I15,1)</f>
        <v>0</v>
      </c>
      <c r="K15" s="221"/>
      <c r="L15" s="1220"/>
      <c r="O15" s="223"/>
      <c r="P15" s="223"/>
      <c r="Q15" s="223"/>
      <c r="R15" s="223"/>
      <c r="S15" s="223"/>
      <c r="T15" s="223"/>
      <c r="U15" s="223"/>
      <c r="V15" s="223"/>
      <c r="W15" s="223"/>
      <c r="X15" s="223"/>
      <c r="Y15" s="223"/>
      <c r="Z15" s="223"/>
      <c r="AA15" s="223"/>
      <c r="AB15" s="223"/>
      <c r="AC15" s="223"/>
    </row>
    <row r="16" spans="1:29" s="228" customFormat="1" ht="41.25" customHeight="1">
      <c r="A16" s="3587" t="s">
        <v>706</v>
      </c>
      <c r="B16" s="2961">
        <v>121400</v>
      </c>
      <c r="C16" s="3566"/>
      <c r="D16" s="3566"/>
      <c r="E16" s="3567">
        <f t="shared" si="1"/>
        <v>0</v>
      </c>
      <c r="F16" s="3566"/>
      <c r="G16" s="3566"/>
      <c r="H16" s="3567">
        <f>'VENITURI '!C15+'VENITURI '!D15</f>
        <v>0</v>
      </c>
      <c r="I16" s="3566"/>
      <c r="J16" s="3568">
        <f>ROUND(E16-H16-I16,1)</f>
        <v>0</v>
      </c>
      <c r="K16" s="221"/>
      <c r="L16" s="1220"/>
      <c r="O16" s="223"/>
      <c r="P16" s="223"/>
      <c r="Q16" s="223"/>
      <c r="R16" s="223"/>
      <c r="S16" s="223"/>
      <c r="T16" s="223"/>
      <c r="U16" s="223"/>
      <c r="V16" s="223"/>
      <c r="W16" s="223"/>
      <c r="X16" s="223"/>
      <c r="Y16" s="223"/>
      <c r="Z16" s="223"/>
      <c r="AA16" s="223"/>
      <c r="AB16" s="223"/>
      <c r="AC16" s="223"/>
    </row>
    <row r="17" spans="1:30" s="228" customFormat="1" ht="41.25" customHeight="1">
      <c r="A17" s="3586" t="s">
        <v>708</v>
      </c>
      <c r="B17" s="2961">
        <v>121500</v>
      </c>
      <c r="C17" s="3567"/>
      <c r="D17" s="3567"/>
      <c r="E17" s="3567">
        <f t="shared" si="1"/>
        <v>0</v>
      </c>
      <c r="F17" s="3566"/>
      <c r="G17" s="3566"/>
      <c r="H17" s="3567">
        <f>'VENITURI '!C16+'VENITURI '!D16</f>
        <v>0</v>
      </c>
      <c r="I17" s="3566"/>
      <c r="J17" s="3568">
        <f>ROUND(E17-H17-I17,1)</f>
        <v>0</v>
      </c>
      <c r="K17" s="221"/>
      <c r="L17" s="1220"/>
      <c r="O17" s="223"/>
      <c r="P17" s="223"/>
      <c r="Q17" s="223"/>
      <c r="R17" s="223"/>
      <c r="S17" s="223"/>
      <c r="T17" s="223"/>
      <c r="U17" s="223"/>
      <c r="V17" s="223"/>
      <c r="W17" s="223"/>
      <c r="X17" s="223"/>
      <c r="Y17" s="223"/>
      <c r="Z17" s="223"/>
      <c r="AA17" s="223"/>
      <c r="AB17" s="223"/>
      <c r="AC17" s="223"/>
    </row>
    <row r="18" spans="1:30" s="228" customFormat="1" ht="24" customHeight="1">
      <c r="A18" s="3583" t="s">
        <v>710</v>
      </c>
      <c r="B18" s="2956" t="s">
        <v>711</v>
      </c>
      <c r="C18" s="2999">
        <f>ROUND(+C19+C33,1)</f>
        <v>220316000</v>
      </c>
      <c r="D18" s="2999">
        <f>ROUND(+D19+D33,1)</f>
        <v>111426000</v>
      </c>
      <c r="E18" s="2999">
        <f t="shared" si="1"/>
        <v>155744139</v>
      </c>
      <c r="F18" s="2999">
        <f>ROUND(+F19+F33,1)</f>
        <v>54529817</v>
      </c>
      <c r="G18" s="2999">
        <f>ROUND(+G19+G33,1)</f>
        <v>101214322</v>
      </c>
      <c r="H18" s="2999">
        <f>ROUND(+H19+H33,1)</f>
        <v>100959053</v>
      </c>
      <c r="I18" s="2999">
        <f>ROUND(+I19+I33,1)</f>
        <v>-2212244</v>
      </c>
      <c r="J18" s="3565">
        <f>ROUND(+J19+J33,1)</f>
        <v>56997330</v>
      </c>
      <c r="K18" s="221"/>
      <c r="L18" s="1220"/>
      <c r="O18" s="223"/>
      <c r="P18" s="223"/>
      <c r="Q18" s="223"/>
      <c r="R18" s="223"/>
      <c r="S18" s="223"/>
      <c r="T18" s="223"/>
      <c r="U18" s="223"/>
      <c r="V18" s="223"/>
      <c r="W18" s="223"/>
      <c r="X18" s="223"/>
      <c r="Y18" s="223"/>
      <c r="Z18" s="223"/>
      <c r="AA18" s="223"/>
      <c r="AB18" s="223"/>
      <c r="AC18" s="223"/>
    </row>
    <row r="19" spans="1:30" s="228" customFormat="1" ht="21.75" customHeight="1">
      <c r="A19" s="3588" t="s">
        <v>712</v>
      </c>
      <c r="B19" s="2956" t="s">
        <v>713</v>
      </c>
      <c r="C19" s="2999">
        <f t="shared" ref="C19:J19" si="2">ROUND(+C20+C28+C31,1)</f>
        <v>13311000</v>
      </c>
      <c r="D19" s="2999">
        <f t="shared" si="2"/>
        <v>6558000</v>
      </c>
      <c r="E19" s="2999">
        <f t="shared" si="2"/>
        <v>24155562</v>
      </c>
      <c r="F19" s="2999">
        <f t="shared" si="2"/>
        <v>23719417</v>
      </c>
      <c r="G19" s="2999">
        <f t="shared" si="2"/>
        <v>436145</v>
      </c>
      <c r="H19" s="2999">
        <f t="shared" si="2"/>
        <v>5716319</v>
      </c>
      <c r="I19" s="2999">
        <f t="shared" si="2"/>
        <v>-4652816</v>
      </c>
      <c r="J19" s="3565">
        <f t="shared" si="2"/>
        <v>23092059</v>
      </c>
      <c r="K19" s="221"/>
      <c r="L19" s="1220"/>
      <c r="O19" s="223"/>
      <c r="P19" s="223"/>
      <c r="Q19" s="223"/>
      <c r="R19" s="223"/>
      <c r="S19" s="223"/>
      <c r="T19" s="223"/>
      <c r="U19" s="223"/>
      <c r="V19" s="223"/>
      <c r="W19" s="223"/>
      <c r="X19" s="223"/>
      <c r="Y19" s="223"/>
      <c r="Z19" s="223"/>
      <c r="AA19" s="223"/>
      <c r="AB19" s="223"/>
      <c r="AC19" s="223"/>
    </row>
    <row r="20" spans="1:30" s="228" customFormat="1" ht="36.75" customHeight="1">
      <c r="A20" s="3583" t="s">
        <v>714</v>
      </c>
      <c r="B20" s="3589" t="s">
        <v>715</v>
      </c>
      <c r="C20" s="3569">
        <f t="shared" ref="C20:D20" si="3">SUM(C21:C27)</f>
        <v>4046000</v>
      </c>
      <c r="D20" s="3569">
        <f t="shared" si="3"/>
        <v>1934000</v>
      </c>
      <c r="E20" s="3569">
        <f>ROUND(F20+G20,1)</f>
        <v>23808546</v>
      </c>
      <c r="F20" s="3569">
        <f>SUM(F21:F27)</f>
        <v>23382145</v>
      </c>
      <c r="G20" s="3569">
        <f>SUM(G21:G27)</f>
        <v>426401</v>
      </c>
      <c r="H20" s="3569">
        <f>SUM(H21:H27)</f>
        <v>871681</v>
      </c>
      <c r="I20" s="3569">
        <f>SUM(I21:I27)</f>
        <v>165845</v>
      </c>
      <c r="J20" s="3570">
        <f>SUM(J21:J27)</f>
        <v>22771020</v>
      </c>
      <c r="K20" s="221"/>
      <c r="L20" s="1220"/>
      <c r="O20" s="223"/>
      <c r="P20" s="223"/>
      <c r="Q20" s="223"/>
      <c r="R20" s="223"/>
      <c r="S20" s="223"/>
      <c r="T20" s="223"/>
      <c r="U20" s="223"/>
      <c r="V20" s="223"/>
      <c r="W20" s="223"/>
      <c r="X20" s="223"/>
      <c r="Y20" s="223"/>
      <c r="Z20" s="223"/>
      <c r="AA20" s="223"/>
      <c r="AB20" s="223"/>
      <c r="AC20" s="223"/>
    </row>
    <row r="21" spans="1:30" s="227" customFormat="1" ht="24">
      <c r="A21" s="3590" t="s">
        <v>716</v>
      </c>
      <c r="B21" s="3589" t="s">
        <v>717</v>
      </c>
      <c r="C21" s="3566"/>
      <c r="D21" s="3566"/>
      <c r="E21" s="3567">
        <f t="shared" si="1"/>
        <v>23502336</v>
      </c>
      <c r="F21" s="3566">
        <v>23361925</v>
      </c>
      <c r="G21" s="3566">
        <v>140411</v>
      </c>
      <c r="H21" s="3567">
        <f>'VENITURI '!C20+'VENITURI '!D20</f>
        <v>602081</v>
      </c>
      <c r="I21" s="3566">
        <v>158086</v>
      </c>
      <c r="J21" s="3568">
        <f t="shared" ref="J21:J32" si="4">ROUND(E21-H21-I21,1)</f>
        <v>22742169</v>
      </c>
      <c r="K21" s="221"/>
      <c r="L21" s="1221"/>
      <c r="M21" s="1222"/>
      <c r="N21" s="228"/>
      <c r="O21" s="223"/>
      <c r="P21" s="223"/>
      <c r="Q21" s="224"/>
      <c r="R21" s="223"/>
      <c r="S21" s="223"/>
      <c r="T21" s="223"/>
      <c r="U21" s="224"/>
      <c r="V21" s="223"/>
      <c r="W21" s="224"/>
      <c r="X21" s="223"/>
      <c r="Y21" s="224"/>
      <c r="Z21" s="223"/>
      <c r="AA21" s="224"/>
      <c r="AB21" s="223"/>
      <c r="AC21" s="224"/>
      <c r="AD21" s="228"/>
    </row>
    <row r="22" spans="1:30" s="227" customFormat="1" ht="30.75" customHeight="1">
      <c r="A22" s="3590" t="s">
        <v>718</v>
      </c>
      <c r="B22" s="3589" t="s">
        <v>719</v>
      </c>
      <c r="C22" s="3567"/>
      <c r="D22" s="3567"/>
      <c r="E22" s="3567">
        <f t="shared" si="1"/>
        <v>0</v>
      </c>
      <c r="F22" s="3566"/>
      <c r="G22" s="3566"/>
      <c r="H22" s="3567">
        <f>'VENITURI '!C21+'VENITURI '!D21</f>
        <v>0</v>
      </c>
      <c r="I22" s="3566"/>
      <c r="J22" s="3568">
        <f t="shared" si="4"/>
        <v>0</v>
      </c>
      <c r="K22" s="221"/>
      <c r="L22" s="1221"/>
      <c r="M22" s="1222"/>
      <c r="N22" s="228"/>
      <c r="O22" s="223"/>
      <c r="P22" s="223"/>
      <c r="Q22" s="224"/>
      <c r="R22" s="223"/>
      <c r="S22" s="223"/>
      <c r="T22" s="223"/>
      <c r="U22" s="224"/>
      <c r="V22" s="223"/>
      <c r="W22" s="224"/>
      <c r="X22" s="223"/>
      <c r="Y22" s="224"/>
      <c r="Z22" s="223"/>
      <c r="AA22" s="224"/>
      <c r="AB22" s="223"/>
      <c r="AC22" s="224"/>
      <c r="AD22" s="228"/>
    </row>
    <row r="23" spans="1:30" s="227" customFormat="1" ht="30.75" customHeight="1">
      <c r="A23" s="3590" t="s">
        <v>1840</v>
      </c>
      <c r="B23" s="3589" t="s">
        <v>720</v>
      </c>
      <c r="C23" s="3566"/>
      <c r="D23" s="3566"/>
      <c r="E23" s="3567">
        <f t="shared" si="1"/>
        <v>0</v>
      </c>
      <c r="F23" s="3566"/>
      <c r="G23" s="3566"/>
      <c r="H23" s="3567">
        <f>'VENITURI '!C22+'VENITURI '!D22</f>
        <v>0</v>
      </c>
      <c r="I23" s="3566"/>
      <c r="J23" s="3568">
        <f t="shared" si="4"/>
        <v>0</v>
      </c>
      <c r="K23" s="221"/>
      <c r="L23" s="1221"/>
      <c r="M23" s="1222"/>
      <c r="N23" s="228"/>
      <c r="O23" s="223"/>
      <c r="P23" s="223"/>
      <c r="Q23" s="224"/>
      <c r="R23" s="223"/>
      <c r="S23" s="223"/>
      <c r="T23" s="223"/>
      <c r="U23" s="224"/>
      <c r="V23" s="223"/>
      <c r="W23" s="224"/>
      <c r="X23" s="223"/>
      <c r="Y23" s="224"/>
      <c r="Z23" s="223"/>
      <c r="AA23" s="224"/>
      <c r="AB23" s="223"/>
      <c r="AC23" s="224"/>
      <c r="AD23" s="228"/>
    </row>
    <row r="24" spans="1:30" s="227" customFormat="1" ht="30.75" customHeight="1">
      <c r="A24" s="3590" t="s">
        <v>1843</v>
      </c>
      <c r="B24" s="3591" t="s">
        <v>1841</v>
      </c>
      <c r="C24" s="3567"/>
      <c r="D24" s="3567"/>
      <c r="E24" s="3567">
        <f t="shared" si="1"/>
        <v>113</v>
      </c>
      <c r="F24" s="3566"/>
      <c r="G24" s="3566">
        <v>113</v>
      </c>
      <c r="H24" s="3567">
        <f>+'VENITURI '!C23+'VENITURI '!D23</f>
        <v>0</v>
      </c>
      <c r="I24" s="3566">
        <v>113</v>
      </c>
      <c r="J24" s="3568">
        <f t="shared" si="4"/>
        <v>0</v>
      </c>
      <c r="K24" s="221"/>
      <c r="L24" s="1221"/>
      <c r="M24" s="1222"/>
      <c r="N24" s="228"/>
      <c r="O24" s="223"/>
      <c r="P24" s="223"/>
      <c r="Q24" s="224"/>
      <c r="R24" s="223"/>
      <c r="S24" s="223"/>
      <c r="T24" s="223"/>
      <c r="U24" s="224"/>
      <c r="V24" s="223"/>
      <c r="W24" s="224"/>
      <c r="X24" s="223"/>
      <c r="Y24" s="224"/>
      <c r="Z24" s="223"/>
      <c r="AA24" s="224"/>
      <c r="AB24" s="223"/>
      <c r="AC24" s="224"/>
      <c r="AD24" s="228"/>
    </row>
    <row r="25" spans="1:30" s="227" customFormat="1" ht="30.75" customHeight="1">
      <c r="A25" s="3590" t="s">
        <v>721</v>
      </c>
      <c r="B25" s="3591" t="s">
        <v>1842</v>
      </c>
      <c r="C25" s="3567"/>
      <c r="D25" s="3567"/>
      <c r="E25" s="3567">
        <f t="shared" si="1"/>
        <v>0</v>
      </c>
      <c r="F25" s="3566"/>
      <c r="G25" s="3566"/>
      <c r="H25" s="3567">
        <f>+'VENITURI '!C24+'VENITURI '!D24</f>
        <v>0</v>
      </c>
      <c r="I25" s="3566"/>
      <c r="J25" s="3568">
        <f t="shared" si="4"/>
        <v>0</v>
      </c>
      <c r="K25" s="221"/>
      <c r="L25" s="1221"/>
      <c r="M25" s="1222"/>
      <c r="N25" s="228"/>
      <c r="O25" s="223"/>
      <c r="P25" s="223"/>
      <c r="Q25" s="224"/>
      <c r="R25" s="223"/>
      <c r="S25" s="223"/>
      <c r="T25" s="223"/>
      <c r="U25" s="224"/>
      <c r="V25" s="223"/>
      <c r="W25" s="224"/>
      <c r="X25" s="223"/>
      <c r="Y25" s="224"/>
      <c r="Z25" s="223"/>
      <c r="AA25" s="224"/>
      <c r="AB25" s="223"/>
      <c r="AC25" s="224"/>
      <c r="AD25" s="228"/>
    </row>
    <row r="26" spans="1:30" s="227" customFormat="1" ht="48">
      <c r="A26" s="3590" t="s">
        <v>722</v>
      </c>
      <c r="B26" s="3589" t="s">
        <v>723</v>
      </c>
      <c r="C26" s="3567"/>
      <c r="D26" s="3567"/>
      <c r="E26" s="3567">
        <f t="shared" si="1"/>
        <v>0</v>
      </c>
      <c r="F26" s="3566"/>
      <c r="G26" s="3566"/>
      <c r="H26" s="3567">
        <f>'VENITURI '!C25+'VENITURI '!D25</f>
        <v>0</v>
      </c>
      <c r="I26" s="3566"/>
      <c r="J26" s="3568">
        <f t="shared" si="4"/>
        <v>0</v>
      </c>
      <c r="K26" s="221"/>
      <c r="L26" s="1221"/>
      <c r="M26" s="1222"/>
      <c r="N26" s="228"/>
      <c r="O26" s="223"/>
      <c r="P26" s="223"/>
      <c r="Q26" s="224"/>
      <c r="R26" s="223"/>
      <c r="S26" s="223"/>
      <c r="T26" s="223"/>
      <c r="U26" s="224"/>
      <c r="V26" s="223"/>
      <c r="W26" s="224"/>
      <c r="X26" s="223"/>
      <c r="Y26" s="224"/>
      <c r="Z26" s="223"/>
      <c r="AA26" s="224"/>
      <c r="AB26" s="223"/>
      <c r="AC26" s="224"/>
      <c r="AD26" s="228"/>
    </row>
    <row r="27" spans="1:30" s="227" customFormat="1" ht="23.45" customHeight="1">
      <c r="A27" s="3590" t="s">
        <v>2483</v>
      </c>
      <c r="B27" s="3589" t="s">
        <v>2482</v>
      </c>
      <c r="C27" s="3566">
        <v>4046000</v>
      </c>
      <c r="D27" s="3566">
        <v>1934000</v>
      </c>
      <c r="E27" s="3567">
        <f t="shared" si="1"/>
        <v>306097</v>
      </c>
      <c r="F27" s="3566">
        <v>20220</v>
      </c>
      <c r="G27" s="3566">
        <v>285877</v>
      </c>
      <c r="H27" s="3567">
        <f>'VENITURI '!C26+'VENITURI '!D26</f>
        <v>269600</v>
      </c>
      <c r="I27" s="3566">
        <v>7646</v>
      </c>
      <c r="J27" s="3568">
        <f t="shared" si="4"/>
        <v>28851</v>
      </c>
      <c r="K27" s="221"/>
      <c r="L27" s="1221"/>
      <c r="M27" s="1222"/>
      <c r="N27" s="228"/>
      <c r="O27" s="223"/>
      <c r="P27" s="223"/>
      <c r="Q27" s="224"/>
      <c r="R27" s="223"/>
      <c r="S27" s="223"/>
      <c r="T27" s="223"/>
      <c r="U27" s="224"/>
      <c r="V27" s="223"/>
      <c r="W27" s="224"/>
      <c r="X27" s="223"/>
      <c r="Y27" s="224"/>
      <c r="Z27" s="223"/>
      <c r="AA27" s="224"/>
      <c r="AB27" s="223"/>
      <c r="AC27" s="224"/>
      <c r="AD27" s="228"/>
    </row>
    <row r="28" spans="1:30" s="227" customFormat="1" ht="15">
      <c r="A28" s="3592" t="s">
        <v>919</v>
      </c>
      <c r="B28" s="3593" t="s">
        <v>1790</v>
      </c>
      <c r="C28" s="2999">
        <f t="shared" ref="C28:D28" si="5">+C29+C30</f>
        <v>0</v>
      </c>
      <c r="D28" s="2999">
        <f t="shared" si="5"/>
        <v>0</v>
      </c>
      <c r="E28" s="2999">
        <f t="shared" si="1"/>
        <v>347016</v>
      </c>
      <c r="F28" s="2999">
        <f>+F29+F30</f>
        <v>337272</v>
      </c>
      <c r="G28" s="2999">
        <f>+G29+G30</f>
        <v>9744</v>
      </c>
      <c r="H28" s="2999">
        <f>+H29+H30</f>
        <v>9590</v>
      </c>
      <c r="I28" s="2999">
        <f>+I29+I30</f>
        <v>16387</v>
      </c>
      <c r="J28" s="3565">
        <f>+J29+J30</f>
        <v>321039</v>
      </c>
      <c r="K28" s="221"/>
      <c r="L28" s="1221"/>
      <c r="M28" s="1222"/>
      <c r="N28" s="228"/>
      <c r="O28" s="223"/>
      <c r="P28" s="223"/>
      <c r="Q28" s="224"/>
      <c r="R28" s="223"/>
      <c r="S28" s="223"/>
      <c r="T28" s="223"/>
      <c r="U28" s="224"/>
      <c r="V28" s="223"/>
      <c r="W28" s="224"/>
      <c r="X28" s="223"/>
      <c r="Y28" s="224"/>
      <c r="Z28" s="223"/>
      <c r="AA28" s="224"/>
      <c r="AB28" s="223"/>
      <c r="AC28" s="224"/>
      <c r="AD28" s="228"/>
    </row>
    <row r="29" spans="1:30" s="227" customFormat="1" ht="24">
      <c r="A29" s="3594" t="s">
        <v>1789</v>
      </c>
      <c r="B29" s="3591" t="s">
        <v>1791</v>
      </c>
      <c r="C29" s="3566"/>
      <c r="D29" s="3566"/>
      <c r="E29" s="3567">
        <f t="shared" si="1"/>
        <v>347016</v>
      </c>
      <c r="F29" s="3566">
        <v>337272</v>
      </c>
      <c r="G29" s="3566">
        <v>9744</v>
      </c>
      <c r="H29" s="3567">
        <f>'VENITURI '!C28+'VENITURI '!D28</f>
        <v>9590</v>
      </c>
      <c r="I29" s="3566">
        <v>16387</v>
      </c>
      <c r="J29" s="3568">
        <f t="shared" si="4"/>
        <v>321039</v>
      </c>
      <c r="K29" s="221"/>
      <c r="L29" s="1221"/>
      <c r="M29" s="1222"/>
      <c r="N29" s="228"/>
      <c r="O29" s="223"/>
      <c r="P29" s="223"/>
      <c r="Q29" s="224"/>
      <c r="R29" s="223"/>
      <c r="S29" s="223"/>
      <c r="T29" s="223"/>
      <c r="U29" s="224"/>
      <c r="V29" s="223"/>
      <c r="W29" s="224"/>
      <c r="X29" s="223"/>
      <c r="Y29" s="224"/>
      <c r="Z29" s="223"/>
      <c r="AA29" s="224"/>
      <c r="AB29" s="223"/>
      <c r="AC29" s="224"/>
      <c r="AD29" s="228"/>
    </row>
    <row r="30" spans="1:30" s="227" customFormat="1" ht="24">
      <c r="A30" s="3594" t="s">
        <v>721</v>
      </c>
      <c r="B30" s="3591" t="s">
        <v>1792</v>
      </c>
      <c r="C30" s="3566"/>
      <c r="D30" s="3566"/>
      <c r="E30" s="3567">
        <f t="shared" si="1"/>
        <v>0</v>
      </c>
      <c r="F30" s="3566"/>
      <c r="G30" s="3566"/>
      <c r="H30" s="3567">
        <f>'VENITURI '!C29+'VENITURI '!D29</f>
        <v>0</v>
      </c>
      <c r="I30" s="3566"/>
      <c r="J30" s="3568">
        <f t="shared" si="4"/>
        <v>0</v>
      </c>
      <c r="K30" s="221"/>
      <c r="L30" s="1221"/>
      <c r="M30" s="1222"/>
      <c r="N30" s="228"/>
      <c r="O30" s="223"/>
      <c r="P30" s="223"/>
      <c r="Q30" s="224"/>
      <c r="R30" s="223"/>
      <c r="S30" s="223"/>
      <c r="T30" s="223"/>
      <c r="U30" s="224"/>
      <c r="V30" s="223"/>
      <c r="W30" s="224"/>
      <c r="X30" s="223"/>
      <c r="Y30" s="224"/>
      <c r="Z30" s="223"/>
      <c r="AA30" s="224"/>
      <c r="AB30" s="223"/>
      <c r="AC30" s="224"/>
      <c r="AD30" s="228"/>
    </row>
    <row r="31" spans="1:30" s="227" customFormat="1" ht="29.25" customHeight="1">
      <c r="A31" s="3592" t="str">
        <f>A32</f>
        <v>Venituri din contribuția asiguratorie pentru muncă pentru concedii și indemnizații</v>
      </c>
      <c r="B31" s="3593" t="s">
        <v>954</v>
      </c>
      <c r="C31" s="2999">
        <f>+C32</f>
        <v>9265000</v>
      </c>
      <c r="D31" s="2999">
        <f>+D32</f>
        <v>4624000</v>
      </c>
      <c r="E31" s="2999">
        <f>+F31+G31</f>
        <v>0</v>
      </c>
      <c r="F31" s="2999">
        <f>+F32</f>
        <v>0</v>
      </c>
      <c r="G31" s="2999">
        <f>+G32</f>
        <v>0</v>
      </c>
      <c r="H31" s="2999">
        <f>+H32</f>
        <v>4835048</v>
      </c>
      <c r="I31" s="2999">
        <f>+I32</f>
        <v>-4835048</v>
      </c>
      <c r="J31" s="3565">
        <f>+J32</f>
        <v>0</v>
      </c>
      <c r="K31" s="221"/>
      <c r="L31" s="1221"/>
      <c r="M31" s="1222"/>
      <c r="N31" s="228"/>
      <c r="O31" s="223"/>
      <c r="P31" s="223"/>
      <c r="Q31" s="224"/>
      <c r="R31" s="223"/>
      <c r="S31" s="223"/>
      <c r="T31" s="223"/>
      <c r="U31" s="224"/>
      <c r="V31" s="223"/>
      <c r="W31" s="224"/>
      <c r="X31" s="223"/>
      <c r="Y31" s="224"/>
      <c r="Z31" s="223"/>
      <c r="AA31" s="224"/>
      <c r="AB31" s="223"/>
      <c r="AC31" s="224"/>
      <c r="AD31" s="228"/>
    </row>
    <row r="32" spans="1:30" s="227" customFormat="1" ht="24">
      <c r="A32" s="3624" t="s">
        <v>1835</v>
      </c>
      <c r="B32" s="3625" t="s">
        <v>1834</v>
      </c>
      <c r="C32" s="3571">
        <v>9265000</v>
      </c>
      <c r="D32" s="3571">
        <v>4624000</v>
      </c>
      <c r="E32" s="3572">
        <f>+F32+G32</f>
        <v>0</v>
      </c>
      <c r="F32" s="3571"/>
      <c r="G32" s="3571"/>
      <c r="H32" s="3572">
        <f>+'VENITURI '!C31+'VENITURI '!D31</f>
        <v>4835048</v>
      </c>
      <c r="I32" s="3571">
        <v>-4835048</v>
      </c>
      <c r="J32" s="3573">
        <f t="shared" si="4"/>
        <v>0</v>
      </c>
      <c r="K32" s="221"/>
      <c r="L32" s="1221"/>
      <c r="M32" s="1222"/>
      <c r="N32" s="228"/>
      <c r="O32" s="223"/>
      <c r="P32" s="223"/>
      <c r="Q32" s="224"/>
      <c r="R32" s="223"/>
      <c r="S32" s="223"/>
      <c r="T32" s="223"/>
      <c r="U32" s="224"/>
      <c r="V32" s="223"/>
      <c r="W32" s="224"/>
      <c r="X32" s="223"/>
      <c r="Y32" s="224"/>
      <c r="Z32" s="223"/>
      <c r="AA32" s="224"/>
      <c r="AB32" s="223"/>
      <c r="AC32" s="224"/>
      <c r="AD32" s="228"/>
    </row>
    <row r="33" spans="1:30" s="228" customFormat="1" ht="21" customHeight="1">
      <c r="A33" s="3618" t="s">
        <v>724</v>
      </c>
      <c r="B33" s="3623" t="s">
        <v>725</v>
      </c>
      <c r="C33" s="2555">
        <f>ROUND(C34+C40+C56+C42+C43+C44+C45+C46+C47+C48+C49+C50+C51+C52+C53+C41+C54+C55,1)</f>
        <v>207005000</v>
      </c>
      <c r="D33" s="2555">
        <f>ROUND(D34+D40+D56+D42+D43+D44+D45+D46+D47+D48+D49+D50+D51+D52+D53+D41+D54+D55,1)</f>
        <v>104868000</v>
      </c>
      <c r="E33" s="2555">
        <f>ROUND(F33+G33,1)</f>
        <v>131588577</v>
      </c>
      <c r="F33" s="2555">
        <f>ROUND(F34+F40+F56+F42+F43+F44+F45+F46+F47+F48+F49+F50+F51+F52+F53+F41+F54+F55,1)</f>
        <v>30810400</v>
      </c>
      <c r="G33" s="2555">
        <f>ROUND(G34+G40+G56+G42+G43+G44+G45+G46+G47+G48+G49+G50+G51+G52+G53+G41+G54+G55,1)</f>
        <v>100778177</v>
      </c>
      <c r="H33" s="2555">
        <f>ROUND(H34+H40+H56+H42+H43+H44+H45+H46+H47+H48+H49+H50+H51+H52+H53+H41+H54+H55,1)</f>
        <v>95242734</v>
      </c>
      <c r="I33" s="2555">
        <f>ROUND(I34+I40+I56+I42+I43+I44+I45+I46+I47+I48+I49+I50+I51+I52+I53+I41+I54+I55,1)</f>
        <v>2440572</v>
      </c>
      <c r="J33" s="3574">
        <f>ROUND(J34+J40+J56+J42+J43+J44+J45+J46+J47+J48+J49+J50+J51+J52+J53+J41+J54+J55,1)</f>
        <v>33905271</v>
      </c>
      <c r="K33" s="221"/>
      <c r="L33" s="1223"/>
      <c r="M33" s="1224"/>
      <c r="O33" s="223"/>
      <c r="P33" s="223"/>
      <c r="Q33" s="223"/>
      <c r="R33" s="223"/>
      <c r="S33" s="223"/>
      <c r="T33" s="223"/>
      <c r="U33" s="223"/>
      <c r="V33" s="223"/>
      <c r="W33" s="223"/>
      <c r="X33" s="223"/>
      <c r="Y33" s="223"/>
      <c r="Z33" s="223"/>
      <c r="AA33" s="223"/>
      <c r="AB33" s="223"/>
      <c r="AC33" s="223"/>
    </row>
    <row r="34" spans="1:30" s="228" customFormat="1" ht="30.75" customHeight="1">
      <c r="A34" s="3583" t="s">
        <v>726</v>
      </c>
      <c r="B34" s="3595" t="s">
        <v>727</v>
      </c>
      <c r="C34" s="3569">
        <f>C35+C38</f>
        <v>200044000</v>
      </c>
      <c r="D34" s="3569">
        <f>D35+D38</f>
        <v>100348000</v>
      </c>
      <c r="E34" s="3569">
        <f>ROUND(F34+G34,1)</f>
        <v>117834297</v>
      </c>
      <c r="F34" s="3569">
        <f>SUM(F35:F39)</f>
        <v>24883294</v>
      </c>
      <c r="G34" s="3569">
        <f>SUM(G35:G39)</f>
        <v>92951003</v>
      </c>
      <c r="H34" s="3569">
        <f>SUM(H35:H39)</f>
        <v>90097818</v>
      </c>
      <c r="I34" s="3569">
        <f>SUM(I35:I39)</f>
        <v>2191769</v>
      </c>
      <c r="J34" s="3570">
        <f>SUM(J35:J39)</f>
        <v>25544710</v>
      </c>
      <c r="K34" s="221"/>
      <c r="L34" s="1220"/>
      <c r="O34" s="223"/>
      <c r="P34" s="223"/>
      <c r="Q34" s="223"/>
      <c r="R34" s="223"/>
      <c r="S34" s="223"/>
      <c r="T34" s="223"/>
      <c r="U34" s="223"/>
      <c r="V34" s="223"/>
      <c r="W34" s="223"/>
      <c r="X34" s="223"/>
      <c r="Y34" s="223"/>
      <c r="Z34" s="223"/>
      <c r="AA34" s="223"/>
      <c r="AB34" s="223"/>
      <c r="AC34" s="223"/>
    </row>
    <row r="35" spans="1:30" s="227" customFormat="1" ht="32.25" customHeight="1">
      <c r="A35" s="3596" t="s">
        <v>728</v>
      </c>
      <c r="B35" s="3595" t="s">
        <v>729</v>
      </c>
      <c r="C35" s="3566">
        <v>192239000</v>
      </c>
      <c r="D35" s="3566">
        <v>96518000</v>
      </c>
      <c r="E35" s="3000">
        <f t="shared" si="1"/>
        <v>114652996</v>
      </c>
      <c r="F35" s="3566">
        <v>22972485</v>
      </c>
      <c r="G35" s="3566">
        <v>91680511</v>
      </c>
      <c r="H35" s="3567">
        <f>'VENITURI '!C34+'VENITURI '!D34</f>
        <v>89598516</v>
      </c>
      <c r="I35" s="3566">
        <v>1488427</v>
      </c>
      <c r="J35" s="3568">
        <f t="shared" ref="J35:J56" si="6">ROUND(E35-H35-I35,1)</f>
        <v>23566053</v>
      </c>
      <c r="K35" s="221"/>
      <c r="L35" s="226"/>
      <c r="N35" s="228"/>
      <c r="O35" s="223"/>
      <c r="P35" s="223"/>
      <c r="Q35" s="224"/>
      <c r="R35" s="223"/>
      <c r="S35" s="223"/>
      <c r="T35" s="223"/>
      <c r="U35" s="224"/>
      <c r="V35" s="223"/>
      <c r="W35" s="224"/>
      <c r="X35" s="223"/>
      <c r="Y35" s="224"/>
      <c r="Z35" s="223"/>
      <c r="AA35" s="224"/>
      <c r="AB35" s="223"/>
      <c r="AC35" s="224"/>
      <c r="AD35" s="228"/>
    </row>
    <row r="36" spans="1:30" s="227" customFormat="1" ht="51.75" customHeight="1">
      <c r="A36" s="3597" t="s">
        <v>730</v>
      </c>
      <c r="B36" s="3595" t="s">
        <v>731</v>
      </c>
      <c r="C36" s="3567"/>
      <c r="D36" s="3567"/>
      <c r="E36" s="3000">
        <f t="shared" si="1"/>
        <v>1698152</v>
      </c>
      <c r="F36" s="3566">
        <v>1910809</v>
      </c>
      <c r="G36" s="3566">
        <v>-212657</v>
      </c>
      <c r="H36" s="3567">
        <f>'VENITURI '!C35+'VENITURI '!D35</f>
        <v>-397887</v>
      </c>
      <c r="I36" s="3566">
        <v>117382</v>
      </c>
      <c r="J36" s="3568">
        <f t="shared" si="6"/>
        <v>1978657</v>
      </c>
      <c r="K36" s="221"/>
      <c r="L36" s="226"/>
      <c r="N36" s="228"/>
      <c r="O36" s="223"/>
      <c r="P36" s="223"/>
      <c r="Q36" s="224"/>
      <c r="R36" s="223"/>
      <c r="S36" s="223"/>
      <c r="T36" s="223"/>
      <c r="U36" s="224"/>
      <c r="V36" s="223"/>
      <c r="W36" s="224"/>
      <c r="X36" s="223"/>
      <c r="Y36" s="224"/>
      <c r="Z36" s="223"/>
      <c r="AA36" s="224"/>
      <c r="AB36" s="223"/>
      <c r="AC36" s="224"/>
      <c r="AD36" s="228"/>
    </row>
    <row r="37" spans="1:30" s="227" customFormat="1" ht="25.5">
      <c r="A37" s="3597" t="s">
        <v>1844</v>
      </c>
      <c r="B37" s="3595" t="s">
        <v>1845</v>
      </c>
      <c r="C37" s="3567"/>
      <c r="D37" s="3567"/>
      <c r="E37" s="3000">
        <f t="shared" si="1"/>
        <v>0</v>
      </c>
      <c r="F37" s="3566"/>
      <c r="G37" s="3566"/>
      <c r="H37" s="3567">
        <f>'VENITURI '!C36+'VENITURI '!D36</f>
        <v>0</v>
      </c>
      <c r="I37" s="3566"/>
      <c r="J37" s="3568">
        <f t="shared" si="6"/>
        <v>0</v>
      </c>
      <c r="K37" s="221"/>
      <c r="L37" s="226"/>
      <c r="N37" s="228"/>
      <c r="O37" s="223"/>
      <c r="P37" s="223"/>
      <c r="Q37" s="224"/>
      <c r="R37" s="223"/>
      <c r="S37" s="223"/>
      <c r="T37" s="223"/>
      <c r="U37" s="224"/>
      <c r="V37" s="223"/>
      <c r="W37" s="224"/>
      <c r="X37" s="223"/>
      <c r="Y37" s="224"/>
      <c r="Z37" s="223"/>
      <c r="AA37" s="224"/>
      <c r="AB37" s="223"/>
      <c r="AC37" s="224"/>
      <c r="AD37" s="228"/>
    </row>
    <row r="38" spans="1:30" s="227" customFormat="1" ht="24.75" customHeight="1">
      <c r="A38" s="3596" t="s">
        <v>732</v>
      </c>
      <c r="B38" s="3589" t="s">
        <v>733</v>
      </c>
      <c r="C38" s="3566">
        <v>7805000</v>
      </c>
      <c r="D38" s="3566">
        <v>3830000</v>
      </c>
      <c r="E38" s="3000">
        <f t="shared" si="1"/>
        <v>1483149</v>
      </c>
      <c r="F38" s="3566"/>
      <c r="G38" s="3566">
        <v>1483149</v>
      </c>
      <c r="H38" s="3567">
        <f>'VENITURI '!C37+'VENITURI '!D37</f>
        <v>897189</v>
      </c>
      <c r="I38" s="3566">
        <v>585960</v>
      </c>
      <c r="J38" s="3568">
        <f t="shared" si="6"/>
        <v>0</v>
      </c>
      <c r="K38" s="221"/>
      <c r="L38" s="226"/>
      <c r="N38" s="228"/>
      <c r="O38" s="223"/>
      <c r="P38" s="223"/>
      <c r="Q38" s="224"/>
      <c r="R38" s="223"/>
      <c r="S38" s="223"/>
      <c r="T38" s="223"/>
      <c r="U38" s="224"/>
      <c r="V38" s="223"/>
      <c r="W38" s="224"/>
      <c r="X38" s="223"/>
      <c r="Y38" s="224"/>
      <c r="Z38" s="223"/>
      <c r="AA38" s="224"/>
      <c r="AB38" s="223"/>
      <c r="AC38" s="224"/>
      <c r="AD38" s="228"/>
    </row>
    <row r="39" spans="1:30" s="227" customFormat="1" ht="24.75" customHeight="1">
      <c r="A39" s="3598" t="s">
        <v>2285</v>
      </c>
      <c r="B39" s="3589" t="s">
        <v>2284</v>
      </c>
      <c r="C39" s="3567"/>
      <c r="D39" s="3567"/>
      <c r="E39" s="3000">
        <f>ROUND(F39+G39,1)</f>
        <v>0</v>
      </c>
      <c r="F39" s="3566"/>
      <c r="G39" s="3566"/>
      <c r="H39" s="3567">
        <f>'VENITURI '!C38+'VENITURI '!D38</f>
        <v>0</v>
      </c>
      <c r="I39" s="3566"/>
      <c r="J39" s="3568">
        <f t="shared" si="6"/>
        <v>0</v>
      </c>
      <c r="K39" s="221"/>
      <c r="L39" s="226"/>
      <c r="N39" s="228"/>
      <c r="O39" s="223"/>
      <c r="P39" s="223"/>
      <c r="Q39" s="224"/>
      <c r="R39" s="223"/>
      <c r="S39" s="223"/>
      <c r="T39" s="223"/>
      <c r="U39" s="224"/>
      <c r="V39" s="223"/>
      <c r="W39" s="224"/>
      <c r="X39" s="223"/>
      <c r="Y39" s="224"/>
      <c r="Z39" s="223"/>
      <c r="AA39" s="224"/>
      <c r="AB39" s="223"/>
      <c r="AC39" s="224"/>
      <c r="AD39" s="228"/>
    </row>
    <row r="40" spans="1:30" s="227" customFormat="1" ht="24.75" customHeight="1">
      <c r="A40" s="3596" t="s">
        <v>2032</v>
      </c>
      <c r="B40" s="3589" t="s">
        <v>2033</v>
      </c>
      <c r="C40" s="3567"/>
      <c r="D40" s="3567"/>
      <c r="E40" s="3000">
        <f t="shared" si="1"/>
        <v>0</v>
      </c>
      <c r="F40" s="3566"/>
      <c r="G40" s="3566"/>
      <c r="H40" s="3567">
        <f>'VENITURI '!C39+'VENITURI '!D39</f>
        <v>0</v>
      </c>
      <c r="I40" s="3566"/>
      <c r="J40" s="3568">
        <f t="shared" si="6"/>
        <v>0</v>
      </c>
      <c r="K40" s="221"/>
      <c r="L40" s="226"/>
      <c r="N40" s="228"/>
      <c r="O40" s="223"/>
      <c r="P40" s="223"/>
      <c r="Q40" s="224"/>
      <c r="R40" s="223"/>
      <c r="S40" s="223"/>
      <c r="T40" s="223"/>
      <c r="U40" s="224"/>
      <c r="V40" s="223"/>
      <c r="W40" s="224"/>
      <c r="X40" s="223"/>
      <c r="Y40" s="224"/>
      <c r="Z40" s="223"/>
      <c r="AA40" s="224"/>
      <c r="AB40" s="223"/>
      <c r="AC40" s="224"/>
      <c r="AD40" s="228"/>
    </row>
    <row r="41" spans="1:30" s="227" customFormat="1" ht="24.75" customHeight="1">
      <c r="A41" s="3596" t="s">
        <v>1847</v>
      </c>
      <c r="B41" s="3589" t="s">
        <v>1846</v>
      </c>
      <c r="C41" s="3567"/>
      <c r="D41" s="3567"/>
      <c r="E41" s="3000">
        <f t="shared" si="1"/>
        <v>0</v>
      </c>
      <c r="F41" s="3566"/>
      <c r="G41" s="3566"/>
      <c r="H41" s="3567">
        <f>'VENITURI '!C40+'VENITURI '!D40</f>
        <v>0</v>
      </c>
      <c r="I41" s="3566"/>
      <c r="J41" s="3568">
        <f t="shared" si="6"/>
        <v>0</v>
      </c>
      <c r="K41" s="221"/>
      <c r="L41" s="226"/>
      <c r="N41" s="228"/>
      <c r="O41" s="223"/>
      <c r="P41" s="223"/>
      <c r="Q41" s="224"/>
      <c r="R41" s="223"/>
      <c r="S41" s="223"/>
      <c r="T41" s="223"/>
      <c r="U41" s="224"/>
      <c r="V41" s="223"/>
      <c r="W41" s="224"/>
      <c r="X41" s="223"/>
      <c r="Y41" s="224"/>
      <c r="Z41" s="223"/>
      <c r="AA41" s="224"/>
      <c r="AB41" s="223"/>
      <c r="AC41" s="224"/>
      <c r="AD41" s="228"/>
    </row>
    <row r="42" spans="1:30" s="227" customFormat="1" ht="35.25" customHeight="1">
      <c r="A42" s="3590" t="s">
        <v>734</v>
      </c>
      <c r="B42" s="3589">
        <v>211600</v>
      </c>
      <c r="C42" s="3566">
        <v>7000</v>
      </c>
      <c r="D42" s="3566">
        <v>4000</v>
      </c>
      <c r="E42" s="3567">
        <f t="shared" si="1"/>
        <v>29668</v>
      </c>
      <c r="F42" s="3566">
        <v>25283</v>
      </c>
      <c r="G42" s="3566">
        <v>4385</v>
      </c>
      <c r="H42" s="3567">
        <f>'VENITURI '!C41+'VENITURI '!D41</f>
        <v>3904</v>
      </c>
      <c r="I42" s="3566"/>
      <c r="J42" s="3568">
        <f t="shared" si="6"/>
        <v>25764</v>
      </c>
      <c r="K42" s="221"/>
      <c r="L42" s="226"/>
      <c r="N42" s="228"/>
      <c r="O42" s="223"/>
      <c r="P42" s="223"/>
      <c r="Q42" s="224"/>
      <c r="R42" s="223"/>
      <c r="S42" s="223"/>
      <c r="T42" s="223"/>
      <c r="U42" s="224"/>
      <c r="V42" s="223"/>
      <c r="W42" s="224"/>
      <c r="X42" s="223"/>
      <c r="Y42" s="224"/>
      <c r="Z42" s="223"/>
      <c r="AA42" s="224"/>
      <c r="AB42" s="223"/>
      <c r="AC42" s="224"/>
      <c r="AD42" s="228"/>
    </row>
    <row r="43" spans="1:30" s="227" customFormat="1" ht="60">
      <c r="A43" s="3590" t="s">
        <v>736</v>
      </c>
      <c r="B43" s="3589">
        <v>211700</v>
      </c>
      <c r="C43" s="3567"/>
      <c r="D43" s="3566"/>
      <c r="E43" s="3567">
        <f t="shared" si="1"/>
        <v>112624</v>
      </c>
      <c r="F43" s="3566">
        <v>112623</v>
      </c>
      <c r="G43" s="3566">
        <v>1</v>
      </c>
      <c r="H43" s="3567">
        <f>'VENITURI '!C42+'VENITURI '!D42</f>
        <v>1</v>
      </c>
      <c r="I43" s="3566"/>
      <c r="J43" s="3568">
        <f t="shared" si="6"/>
        <v>112623</v>
      </c>
      <c r="K43" s="221"/>
      <c r="L43" s="226"/>
      <c r="N43" s="228"/>
      <c r="O43" s="223"/>
      <c r="P43" s="223"/>
      <c r="Q43" s="224"/>
      <c r="R43" s="223"/>
      <c r="S43" s="223"/>
      <c r="T43" s="223"/>
      <c r="U43" s="224"/>
      <c r="V43" s="223"/>
      <c r="W43" s="224"/>
      <c r="X43" s="223"/>
      <c r="Y43" s="224"/>
      <c r="Z43" s="223"/>
      <c r="AA43" s="224"/>
      <c r="AB43" s="223"/>
      <c r="AC43" s="224"/>
      <c r="AD43" s="228"/>
    </row>
    <row r="44" spans="1:30" s="227" customFormat="1" ht="48">
      <c r="A44" s="3590" t="s">
        <v>738</v>
      </c>
      <c r="B44" s="3589">
        <v>211800</v>
      </c>
      <c r="C44" s="3567"/>
      <c r="D44" s="3567"/>
      <c r="E44" s="3567">
        <f t="shared" si="1"/>
        <v>0</v>
      </c>
      <c r="F44" s="3566"/>
      <c r="G44" s="3566"/>
      <c r="H44" s="3567">
        <f>'VENITURI '!C43+'VENITURI '!D43</f>
        <v>0</v>
      </c>
      <c r="I44" s="3566"/>
      <c r="J44" s="3568">
        <f t="shared" si="6"/>
        <v>0</v>
      </c>
      <c r="K44" s="221"/>
      <c r="L44" s="226"/>
      <c r="N44" s="228"/>
      <c r="O44" s="223"/>
      <c r="P44" s="223"/>
      <c r="Q44" s="224"/>
      <c r="R44" s="223"/>
      <c r="S44" s="223"/>
      <c r="T44" s="223"/>
      <c r="U44" s="224"/>
      <c r="V44" s="223"/>
      <c r="W44" s="224"/>
      <c r="X44" s="223"/>
      <c r="Y44" s="224"/>
      <c r="Z44" s="223"/>
      <c r="AA44" s="224"/>
      <c r="AB44" s="223"/>
      <c r="AC44" s="224"/>
      <c r="AD44" s="228"/>
    </row>
    <row r="45" spans="1:30" s="227" customFormat="1" ht="48">
      <c r="A45" s="3590" t="s">
        <v>740</v>
      </c>
      <c r="B45" s="3589">
        <v>211900</v>
      </c>
      <c r="C45" s="3566"/>
      <c r="D45" s="3566"/>
      <c r="E45" s="3567">
        <f t="shared" si="1"/>
        <v>0</v>
      </c>
      <c r="F45" s="3566"/>
      <c r="G45" s="3566"/>
      <c r="H45" s="3567">
        <f>'VENITURI '!C44+'VENITURI '!D44</f>
        <v>0</v>
      </c>
      <c r="I45" s="3566"/>
      <c r="J45" s="3568">
        <f t="shared" si="6"/>
        <v>0</v>
      </c>
      <c r="K45" s="221"/>
      <c r="L45" s="226"/>
      <c r="N45" s="228"/>
      <c r="O45" s="223"/>
      <c r="P45" s="223"/>
      <c r="Q45" s="224"/>
      <c r="R45" s="223"/>
      <c r="S45" s="223"/>
      <c r="T45" s="223"/>
      <c r="U45" s="224"/>
      <c r="V45" s="223"/>
      <c r="W45" s="224"/>
      <c r="X45" s="223"/>
      <c r="Y45" s="224"/>
      <c r="Z45" s="223"/>
      <c r="AA45" s="224"/>
      <c r="AB45" s="223"/>
      <c r="AC45" s="224"/>
      <c r="AD45" s="228"/>
    </row>
    <row r="46" spans="1:30" s="227" customFormat="1" ht="48">
      <c r="A46" s="3590" t="s">
        <v>742</v>
      </c>
      <c r="B46" s="3589">
        <v>212000</v>
      </c>
      <c r="C46" s="3567"/>
      <c r="D46" s="3567"/>
      <c r="E46" s="3567">
        <f t="shared" si="1"/>
        <v>0</v>
      </c>
      <c r="F46" s="3566"/>
      <c r="G46" s="3566"/>
      <c r="H46" s="3567">
        <f>'VENITURI '!C45+'VENITURI '!D45</f>
        <v>0</v>
      </c>
      <c r="I46" s="3566"/>
      <c r="J46" s="3568">
        <f t="shared" si="6"/>
        <v>0</v>
      </c>
      <c r="K46" s="221"/>
      <c r="L46" s="226"/>
      <c r="N46" s="228"/>
      <c r="O46" s="223"/>
      <c r="P46" s="223"/>
      <c r="Q46" s="224"/>
      <c r="R46" s="223"/>
      <c r="S46" s="223"/>
      <c r="T46" s="223"/>
      <c r="U46" s="224"/>
      <c r="V46" s="223"/>
      <c r="W46" s="224"/>
      <c r="X46" s="223"/>
      <c r="Y46" s="224"/>
      <c r="Z46" s="223"/>
      <c r="AA46" s="224"/>
      <c r="AB46" s="223"/>
      <c r="AC46" s="224"/>
      <c r="AD46" s="228"/>
    </row>
    <row r="47" spans="1:30" s="227" customFormat="1" ht="36">
      <c r="A47" s="3590" t="s">
        <v>744</v>
      </c>
      <c r="B47" s="3589">
        <v>212100</v>
      </c>
      <c r="C47" s="3567"/>
      <c r="D47" s="3567"/>
      <c r="E47" s="3567">
        <f t="shared" si="1"/>
        <v>0</v>
      </c>
      <c r="F47" s="3566"/>
      <c r="G47" s="3566"/>
      <c r="H47" s="3567">
        <f>'VENITURI '!C46+'VENITURI '!D46</f>
        <v>0</v>
      </c>
      <c r="I47" s="3566"/>
      <c r="J47" s="3568">
        <f t="shared" si="6"/>
        <v>0</v>
      </c>
      <c r="K47" s="221"/>
      <c r="L47" s="226"/>
      <c r="N47" s="228"/>
      <c r="O47" s="223"/>
      <c r="P47" s="223"/>
      <c r="Q47" s="224"/>
      <c r="R47" s="223"/>
      <c r="S47" s="223"/>
      <c r="T47" s="223"/>
      <c r="U47" s="224"/>
      <c r="V47" s="223"/>
      <c r="W47" s="224"/>
      <c r="X47" s="223"/>
      <c r="Y47" s="224"/>
      <c r="Z47" s="223"/>
      <c r="AA47" s="224"/>
      <c r="AB47" s="223"/>
      <c r="AC47" s="224"/>
      <c r="AD47" s="228"/>
    </row>
    <row r="48" spans="1:30" s="227" customFormat="1" ht="38.25">
      <c r="A48" s="3599" t="s">
        <v>746</v>
      </c>
      <c r="B48" s="3600">
        <v>212200</v>
      </c>
      <c r="C48" s="3566">
        <v>28000</v>
      </c>
      <c r="D48" s="3566">
        <v>15000</v>
      </c>
      <c r="E48" s="3567">
        <f t="shared" si="1"/>
        <v>70052</v>
      </c>
      <c r="F48" s="3566">
        <v>61921</v>
      </c>
      <c r="G48" s="3566">
        <v>8131</v>
      </c>
      <c r="H48" s="3567">
        <f>'VENITURI '!C47+'VENITURI '!D47</f>
        <v>5619</v>
      </c>
      <c r="I48" s="3566">
        <v>1047</v>
      </c>
      <c r="J48" s="3568">
        <f t="shared" si="6"/>
        <v>63386</v>
      </c>
      <c r="K48" s="221"/>
      <c r="L48" s="226"/>
      <c r="N48" s="228"/>
      <c r="O48" s="223"/>
      <c r="P48" s="223"/>
      <c r="Q48" s="224"/>
      <c r="R48" s="223"/>
      <c r="S48" s="223"/>
      <c r="T48" s="223"/>
      <c r="U48" s="224"/>
      <c r="V48" s="223"/>
      <c r="W48" s="224"/>
      <c r="X48" s="223"/>
      <c r="Y48" s="224"/>
      <c r="Z48" s="223"/>
      <c r="AA48" s="224"/>
      <c r="AB48" s="223"/>
      <c r="AC48" s="224"/>
      <c r="AD48" s="228"/>
    </row>
    <row r="49" spans="1:30" s="227" customFormat="1" ht="25.5">
      <c r="A49" s="3599" t="s">
        <v>748</v>
      </c>
      <c r="B49" s="3600">
        <v>212300</v>
      </c>
      <c r="C49" s="3567"/>
      <c r="D49" s="3567"/>
      <c r="E49" s="3567">
        <f t="shared" si="1"/>
        <v>21540</v>
      </c>
      <c r="F49" s="3566">
        <v>22400</v>
      </c>
      <c r="G49" s="3566">
        <v>-860</v>
      </c>
      <c r="H49" s="3567">
        <f>'VENITURI '!C48+'VENITURI '!D48</f>
        <v>-772</v>
      </c>
      <c r="I49" s="3566">
        <v>7137</v>
      </c>
      <c r="J49" s="3568">
        <f t="shared" si="6"/>
        <v>15175</v>
      </c>
      <c r="K49" s="221"/>
      <c r="L49" s="226"/>
      <c r="N49" s="228"/>
      <c r="O49" s="223"/>
      <c r="P49" s="223"/>
      <c r="Q49" s="224"/>
      <c r="R49" s="223"/>
      <c r="S49" s="223"/>
      <c r="T49" s="223"/>
      <c r="U49" s="224"/>
      <c r="V49" s="223"/>
      <c r="W49" s="224"/>
      <c r="X49" s="223"/>
      <c r="Y49" s="224"/>
      <c r="Z49" s="223"/>
      <c r="AA49" s="224"/>
      <c r="AB49" s="223"/>
      <c r="AC49" s="224"/>
      <c r="AD49" s="228"/>
    </row>
    <row r="50" spans="1:30" s="227" customFormat="1" ht="15" customHeight="1">
      <c r="A50" s="3597" t="s">
        <v>750</v>
      </c>
      <c r="B50" s="3600">
        <v>212400</v>
      </c>
      <c r="C50" s="3566"/>
      <c r="D50" s="3566"/>
      <c r="E50" s="3567">
        <f t="shared" si="1"/>
        <v>198142</v>
      </c>
      <c r="F50" s="3566">
        <v>177313</v>
      </c>
      <c r="G50" s="3566">
        <v>20829</v>
      </c>
      <c r="H50" s="3567">
        <f>'VENITURI '!C49+'VENITURI '!D49</f>
        <v>54349</v>
      </c>
      <c r="I50" s="3566">
        <v>-45640</v>
      </c>
      <c r="J50" s="3568">
        <f t="shared" si="6"/>
        <v>189433</v>
      </c>
      <c r="K50" s="221"/>
      <c r="L50" s="226"/>
      <c r="N50" s="228"/>
      <c r="O50" s="223"/>
      <c r="P50" s="223"/>
      <c r="Q50" s="224"/>
      <c r="R50" s="223"/>
      <c r="S50" s="223"/>
      <c r="T50" s="223"/>
      <c r="U50" s="224"/>
      <c r="V50" s="223"/>
      <c r="W50" s="224"/>
      <c r="X50" s="223"/>
      <c r="Y50" s="224"/>
      <c r="Z50" s="223"/>
      <c r="AA50" s="224"/>
      <c r="AB50" s="223"/>
      <c r="AC50" s="224"/>
      <c r="AD50" s="228"/>
    </row>
    <row r="51" spans="1:30" s="227" customFormat="1" ht="25.5">
      <c r="A51" s="3598" t="s">
        <v>1799</v>
      </c>
      <c r="B51" s="3601" t="s">
        <v>1836</v>
      </c>
      <c r="C51" s="3566">
        <v>65000</v>
      </c>
      <c r="D51" s="3566">
        <v>32000</v>
      </c>
      <c r="E51" s="3567">
        <f t="shared" si="1"/>
        <v>63675</v>
      </c>
      <c r="F51" s="3566">
        <v>2847</v>
      </c>
      <c r="G51" s="3566">
        <v>60828</v>
      </c>
      <c r="H51" s="3567">
        <f>'VENITURI '!C50+'VENITURI '!D50</f>
        <v>62281</v>
      </c>
      <c r="I51" s="3566"/>
      <c r="J51" s="3568">
        <f t="shared" si="6"/>
        <v>1394</v>
      </c>
      <c r="K51" s="221"/>
      <c r="L51" s="226"/>
      <c r="N51" s="228"/>
      <c r="O51" s="223"/>
      <c r="P51" s="223"/>
      <c r="Q51" s="224"/>
      <c r="R51" s="223"/>
      <c r="S51" s="223"/>
      <c r="T51" s="223"/>
      <c r="U51" s="224"/>
      <c r="V51" s="223"/>
      <c r="W51" s="224"/>
      <c r="X51" s="223"/>
      <c r="Y51" s="224"/>
      <c r="Z51" s="223"/>
      <c r="AA51" s="224"/>
      <c r="AB51" s="223"/>
      <c r="AC51" s="224"/>
      <c r="AD51" s="228"/>
    </row>
    <row r="52" spans="1:30" s="227" customFormat="1" ht="51">
      <c r="A52" s="3602" t="s">
        <v>1806</v>
      </c>
      <c r="B52" s="3603" t="s">
        <v>1837</v>
      </c>
      <c r="C52" s="3566"/>
      <c r="D52" s="3566"/>
      <c r="E52" s="3567">
        <f t="shared" si="1"/>
        <v>0</v>
      </c>
      <c r="F52" s="3566"/>
      <c r="G52" s="3566"/>
      <c r="H52" s="3567">
        <f>'VENITURI '!C51+'VENITURI '!D51</f>
        <v>0</v>
      </c>
      <c r="I52" s="3566"/>
      <c r="J52" s="3568">
        <f t="shared" si="6"/>
        <v>0</v>
      </c>
      <c r="K52" s="221"/>
      <c r="L52" s="226"/>
      <c r="N52" s="228"/>
      <c r="O52" s="223"/>
      <c r="P52" s="223"/>
      <c r="Q52" s="224"/>
      <c r="R52" s="223"/>
      <c r="S52" s="223"/>
      <c r="T52" s="223"/>
      <c r="U52" s="224"/>
      <c r="V52" s="223"/>
      <c r="W52" s="224"/>
      <c r="X52" s="223"/>
      <c r="Y52" s="224"/>
      <c r="Z52" s="223"/>
      <c r="AA52" s="224"/>
      <c r="AB52" s="223"/>
      <c r="AC52" s="224"/>
      <c r="AD52" s="228"/>
    </row>
    <row r="53" spans="1:30" s="227" customFormat="1" ht="25.5">
      <c r="A53" s="3602" t="s">
        <v>1839</v>
      </c>
      <c r="B53" s="3603" t="s">
        <v>1838</v>
      </c>
      <c r="C53" s="3567"/>
      <c r="D53" s="3567"/>
      <c r="E53" s="3567">
        <f t="shared" si="1"/>
        <v>0</v>
      </c>
      <c r="F53" s="3566"/>
      <c r="G53" s="3566"/>
      <c r="H53" s="3567">
        <f>+'VENITURI '!C52+'VENITURI '!D52</f>
        <v>0</v>
      </c>
      <c r="I53" s="3566"/>
      <c r="J53" s="3568">
        <f t="shared" si="6"/>
        <v>0</v>
      </c>
      <c r="K53" s="221"/>
      <c r="L53" s="226"/>
      <c r="N53" s="228"/>
      <c r="O53" s="223"/>
      <c r="P53" s="223"/>
      <c r="Q53" s="224"/>
      <c r="R53" s="223"/>
      <c r="S53" s="223"/>
      <c r="T53" s="223"/>
      <c r="U53" s="224"/>
      <c r="V53" s="223"/>
      <c r="W53" s="224"/>
      <c r="X53" s="223"/>
      <c r="Y53" s="224"/>
      <c r="Z53" s="223"/>
      <c r="AA53" s="224"/>
      <c r="AB53" s="223"/>
      <c r="AC53" s="224"/>
      <c r="AD53" s="228"/>
    </row>
    <row r="54" spans="1:30" s="227" customFormat="1" ht="38.25">
      <c r="A54" s="3628" t="s">
        <v>2035</v>
      </c>
      <c r="B54" s="3629" t="s">
        <v>2036</v>
      </c>
      <c r="C54" s="3571"/>
      <c r="D54" s="3571"/>
      <c r="E54" s="3572">
        <f t="shared" si="1"/>
        <v>7200</v>
      </c>
      <c r="F54" s="3571"/>
      <c r="G54" s="3571">
        <v>7200</v>
      </c>
      <c r="H54" s="3572">
        <f>+'VENITURI '!C53+'VENITURI '!D53</f>
        <v>3900</v>
      </c>
      <c r="I54" s="3571">
        <v>3300</v>
      </c>
      <c r="J54" s="3573">
        <f t="shared" si="6"/>
        <v>0</v>
      </c>
      <c r="K54" s="221"/>
      <c r="L54" s="226"/>
      <c r="N54" s="228"/>
      <c r="O54" s="223"/>
      <c r="P54" s="223"/>
      <c r="Q54" s="224"/>
      <c r="R54" s="223"/>
      <c r="S54" s="223"/>
      <c r="T54" s="223"/>
      <c r="U54" s="224"/>
      <c r="V54" s="223"/>
      <c r="W54" s="224"/>
      <c r="X54" s="223"/>
      <c r="Y54" s="224"/>
      <c r="Z54" s="223"/>
      <c r="AA54" s="224"/>
      <c r="AB54" s="223"/>
      <c r="AC54" s="224"/>
      <c r="AD54" s="228"/>
    </row>
    <row r="55" spans="1:30" s="227" customFormat="1" ht="25.5">
      <c r="A55" s="3626" t="s">
        <v>2051</v>
      </c>
      <c r="B55" s="3627" t="s">
        <v>2050</v>
      </c>
      <c r="C55" s="2556">
        <v>6861000</v>
      </c>
      <c r="D55" s="2556">
        <v>4469000</v>
      </c>
      <c r="E55" s="2557">
        <f t="shared" si="1"/>
        <v>13251379</v>
      </c>
      <c r="F55" s="2556">
        <v>5524719</v>
      </c>
      <c r="G55" s="2556">
        <v>7726660</v>
      </c>
      <c r="H55" s="2557">
        <f>+'VENITURI '!C54+'VENITURI '!D54</f>
        <v>5015634</v>
      </c>
      <c r="I55" s="2556">
        <v>282959</v>
      </c>
      <c r="J55" s="3575">
        <f t="shared" si="6"/>
        <v>7952786</v>
      </c>
      <c r="K55" s="221"/>
      <c r="L55" s="226"/>
      <c r="O55" s="223"/>
      <c r="P55" s="223"/>
      <c r="Q55" s="224"/>
      <c r="R55" s="223"/>
      <c r="S55" s="223"/>
      <c r="T55" s="223"/>
      <c r="U55" s="224"/>
      <c r="V55" s="223"/>
      <c r="W55" s="224"/>
      <c r="X55" s="223"/>
      <c r="Y55" s="224"/>
      <c r="Z55" s="223"/>
      <c r="AA55" s="224"/>
      <c r="AB55" s="223"/>
      <c r="AC55" s="224"/>
      <c r="AD55" s="228"/>
    </row>
    <row r="56" spans="1:30" s="227" customFormat="1" ht="32.25" customHeight="1">
      <c r="A56" s="3596" t="s">
        <v>752</v>
      </c>
      <c r="B56" s="3589" t="s">
        <v>753</v>
      </c>
      <c r="C56" s="3567"/>
      <c r="D56" s="3567"/>
      <c r="E56" s="3567">
        <f t="shared" si="1"/>
        <v>0</v>
      </c>
      <c r="F56" s="3566"/>
      <c r="G56" s="3566"/>
      <c r="H56" s="3567">
        <f>'VENITURI '!C55+'VENITURI '!D55</f>
        <v>0</v>
      </c>
      <c r="I56" s="3566"/>
      <c r="J56" s="3568">
        <f t="shared" si="6"/>
        <v>0</v>
      </c>
      <c r="K56" s="221"/>
      <c r="L56" s="226"/>
      <c r="N56" s="228"/>
      <c r="O56" s="223"/>
      <c r="P56" s="223"/>
      <c r="Q56" s="224"/>
      <c r="R56" s="223"/>
      <c r="S56" s="223"/>
      <c r="T56" s="223"/>
      <c r="U56" s="224"/>
      <c r="V56" s="223"/>
      <c r="W56" s="224"/>
      <c r="X56" s="223"/>
      <c r="Y56" s="224"/>
      <c r="Z56" s="223"/>
      <c r="AA56" s="224"/>
      <c r="AB56" s="223"/>
      <c r="AC56" s="224"/>
      <c r="AD56" s="228"/>
    </row>
    <row r="57" spans="1:30" s="228" customFormat="1" ht="30" customHeight="1">
      <c r="A57" s="3583" t="s">
        <v>754</v>
      </c>
      <c r="B57" s="2956" t="s">
        <v>755</v>
      </c>
      <c r="C57" s="2999">
        <f>ROUND(C58+C63,1)</f>
        <v>795000</v>
      </c>
      <c r="D57" s="2999">
        <f>ROUND(D58+D63,1)</f>
        <v>222000</v>
      </c>
      <c r="E57" s="2999">
        <f t="shared" si="1"/>
        <v>76104</v>
      </c>
      <c r="F57" s="2999">
        <f>ROUND(F58+F63,1)</f>
        <v>0</v>
      </c>
      <c r="G57" s="2999">
        <f>ROUND(G58+G63,1)</f>
        <v>76104</v>
      </c>
      <c r="H57" s="2999">
        <f>ROUND(H58+H63,1)</f>
        <v>621782</v>
      </c>
      <c r="I57" s="2999">
        <f>ROUND(I58+I63,1)</f>
        <v>-545678</v>
      </c>
      <c r="J57" s="3565">
        <f>ROUND(J58+J63,1)</f>
        <v>0</v>
      </c>
      <c r="K57" s="221"/>
      <c r="L57" s="1220"/>
      <c r="O57" s="223"/>
      <c r="P57" s="223"/>
      <c r="Q57" s="223"/>
      <c r="R57" s="223"/>
      <c r="S57" s="223"/>
      <c r="T57" s="223"/>
      <c r="U57" s="223"/>
      <c r="V57" s="223"/>
      <c r="W57" s="223"/>
      <c r="X57" s="223"/>
      <c r="Y57" s="223"/>
      <c r="Z57" s="223"/>
      <c r="AA57" s="223"/>
      <c r="AB57" s="223"/>
      <c r="AC57" s="223"/>
    </row>
    <row r="58" spans="1:30" s="228" customFormat="1" ht="27.75" customHeight="1">
      <c r="A58" s="3583" t="s">
        <v>756</v>
      </c>
      <c r="B58" s="2956" t="s">
        <v>757</v>
      </c>
      <c r="C58" s="2999">
        <f>ROUND(+C59+C61,1)</f>
        <v>0</v>
      </c>
      <c r="D58" s="2999">
        <f>ROUND(+D59+D61,1)</f>
        <v>0</v>
      </c>
      <c r="E58" s="2999">
        <f t="shared" si="1"/>
        <v>0</v>
      </c>
      <c r="F58" s="2999">
        <f>ROUND(+F59+F61,1)</f>
        <v>0</v>
      </c>
      <c r="G58" s="2999">
        <f>ROUND(+G59+G61,1)</f>
        <v>0</v>
      </c>
      <c r="H58" s="2999">
        <f>ROUND(+H59+H61,1)</f>
        <v>0</v>
      </c>
      <c r="I58" s="2999">
        <f>ROUND(+I59+I61,1)</f>
        <v>0</v>
      </c>
      <c r="J58" s="3565">
        <f>ROUND(+J59+J61,1)</f>
        <v>0</v>
      </c>
      <c r="K58" s="221"/>
      <c r="L58" s="1220"/>
      <c r="O58" s="223"/>
      <c r="P58" s="223"/>
      <c r="Q58" s="223"/>
      <c r="R58" s="223"/>
      <c r="S58" s="223"/>
      <c r="T58" s="223"/>
      <c r="U58" s="223"/>
      <c r="V58" s="223"/>
      <c r="W58" s="223"/>
      <c r="X58" s="223"/>
      <c r="Y58" s="223"/>
      <c r="Z58" s="223"/>
      <c r="AA58" s="223"/>
      <c r="AB58" s="223"/>
      <c r="AC58" s="223"/>
    </row>
    <row r="59" spans="1:30" s="228" customFormat="1" ht="26.25" customHeight="1">
      <c r="A59" s="3583" t="s">
        <v>758</v>
      </c>
      <c r="B59" s="3604" t="s">
        <v>759</v>
      </c>
      <c r="C59" s="3569">
        <f>ROUND(+C60,1)</f>
        <v>0</v>
      </c>
      <c r="D59" s="3569">
        <f>ROUND(+D60,1)</f>
        <v>0</v>
      </c>
      <c r="E59" s="3569">
        <f t="shared" si="1"/>
        <v>0</v>
      </c>
      <c r="F59" s="3569">
        <f>ROUND(+F60,1)</f>
        <v>0</v>
      </c>
      <c r="G59" s="3569">
        <f>ROUND(+G60,1)</f>
        <v>0</v>
      </c>
      <c r="H59" s="3569">
        <f>ROUND(+H60,1)</f>
        <v>0</v>
      </c>
      <c r="I59" s="3569">
        <f>ROUND(+I60,1)</f>
        <v>0</v>
      </c>
      <c r="J59" s="3570">
        <f>ROUND(+J60,1)</f>
        <v>0</v>
      </c>
      <c r="K59" s="221"/>
      <c r="L59" s="1220"/>
      <c r="O59" s="223"/>
      <c r="P59" s="223"/>
      <c r="Q59" s="223"/>
      <c r="R59" s="223"/>
      <c r="S59" s="223"/>
      <c r="T59" s="223"/>
      <c r="U59" s="223"/>
      <c r="V59" s="223"/>
      <c r="W59" s="223"/>
      <c r="X59" s="223"/>
      <c r="Y59" s="223"/>
      <c r="Z59" s="223"/>
      <c r="AA59" s="223"/>
      <c r="AB59" s="223"/>
      <c r="AC59" s="223"/>
    </row>
    <row r="60" spans="1:30" s="227" customFormat="1" ht="29.25" customHeight="1">
      <c r="A60" s="3590" t="s">
        <v>760</v>
      </c>
      <c r="B60" s="3589">
        <v>305000</v>
      </c>
      <c r="C60" s="3566"/>
      <c r="D60" s="3566"/>
      <c r="E60" s="3567">
        <f t="shared" si="1"/>
        <v>0</v>
      </c>
      <c r="F60" s="3566"/>
      <c r="G60" s="3566"/>
      <c r="H60" s="3567">
        <f>'VENITURI '!C59+'VENITURI '!D59</f>
        <v>0</v>
      </c>
      <c r="I60" s="3566"/>
      <c r="J60" s="3568">
        <f>ROUND(E60-H60-I60,1)</f>
        <v>0</v>
      </c>
      <c r="K60" s="221"/>
      <c r="N60" s="228"/>
      <c r="O60" s="223"/>
      <c r="P60" s="223"/>
      <c r="Q60" s="224"/>
      <c r="R60" s="223"/>
      <c r="S60" s="223"/>
      <c r="T60" s="223"/>
      <c r="U60" s="224"/>
      <c r="V60" s="223"/>
      <c r="W60" s="224"/>
      <c r="X60" s="223"/>
      <c r="Y60" s="224"/>
      <c r="Z60" s="223"/>
      <c r="AA60" s="224"/>
      <c r="AB60" s="223"/>
      <c r="AC60" s="224"/>
      <c r="AD60" s="228"/>
    </row>
    <row r="61" spans="1:30" s="1227" customFormat="1" ht="27.75" customHeight="1">
      <c r="A61" s="3583" t="s">
        <v>762</v>
      </c>
      <c r="B61" s="2956" t="s">
        <v>763</v>
      </c>
      <c r="C61" s="2999">
        <f>ROUND(+C62,1)</f>
        <v>0</v>
      </c>
      <c r="D61" s="2999">
        <f>ROUND(+D62,1)</f>
        <v>0</v>
      </c>
      <c r="E61" s="2999">
        <f t="shared" si="1"/>
        <v>0</v>
      </c>
      <c r="F61" s="2999">
        <f>ROUND(+F62,1)</f>
        <v>0</v>
      </c>
      <c r="G61" s="2999">
        <f>ROUND(+G62,1)</f>
        <v>0</v>
      </c>
      <c r="H61" s="2999">
        <f>ROUND(+H62,1)</f>
        <v>0</v>
      </c>
      <c r="I61" s="2999">
        <f>ROUND(+I62,1)</f>
        <v>0</v>
      </c>
      <c r="J61" s="3565">
        <f>ROUND(+J62,1)</f>
        <v>0</v>
      </c>
      <c r="K61" s="221"/>
      <c r="L61" s="226"/>
      <c r="M61" s="1226"/>
      <c r="N61" s="228"/>
      <c r="O61" s="223"/>
      <c r="P61" s="223"/>
      <c r="Q61" s="223"/>
      <c r="R61" s="223"/>
      <c r="S61" s="223"/>
      <c r="T61" s="223"/>
      <c r="U61" s="223"/>
      <c r="V61" s="223"/>
      <c r="W61" s="223"/>
      <c r="X61" s="223"/>
      <c r="Y61" s="223"/>
      <c r="Z61" s="223"/>
      <c r="AA61" s="223"/>
      <c r="AB61" s="223"/>
      <c r="AC61" s="223"/>
      <c r="AD61" s="228"/>
    </row>
    <row r="62" spans="1:30" s="1229" customFormat="1" ht="26.25" customHeight="1">
      <c r="A62" s="3590" t="s">
        <v>764</v>
      </c>
      <c r="B62" s="3589">
        <v>310300</v>
      </c>
      <c r="C62" s="3566"/>
      <c r="D62" s="3566"/>
      <c r="E62" s="3567">
        <f t="shared" si="1"/>
        <v>0</v>
      </c>
      <c r="F62" s="3566"/>
      <c r="G62" s="3566"/>
      <c r="H62" s="3567">
        <f>'VENITURI '!C61+'VENITURI '!D61</f>
        <v>0</v>
      </c>
      <c r="I62" s="3566"/>
      <c r="J62" s="3568">
        <f>ROUND(E62-H62-I62,1)</f>
        <v>0</v>
      </c>
      <c r="K62" s="221"/>
      <c r="L62" s="226"/>
      <c r="M62" s="1228"/>
      <c r="N62" s="228"/>
      <c r="O62" s="223"/>
      <c r="P62" s="223"/>
      <c r="Q62" s="224"/>
      <c r="R62" s="223"/>
      <c r="S62" s="223"/>
      <c r="T62" s="223"/>
      <c r="U62" s="224"/>
      <c r="V62" s="223"/>
      <c r="W62" s="224"/>
      <c r="X62" s="223"/>
      <c r="Y62" s="224"/>
      <c r="Z62" s="223"/>
      <c r="AA62" s="224"/>
      <c r="AB62" s="223"/>
      <c r="AC62" s="224"/>
      <c r="AD62" s="228"/>
    </row>
    <row r="63" spans="1:30" s="1227" customFormat="1" ht="24.75" customHeight="1">
      <c r="A63" s="3583" t="s">
        <v>766</v>
      </c>
      <c r="B63" s="2956" t="s">
        <v>767</v>
      </c>
      <c r="C63" s="2999">
        <f>ROUND(C64+C68,1)</f>
        <v>795000</v>
      </c>
      <c r="D63" s="2999">
        <f>ROUND(D64+D68,1)</f>
        <v>222000</v>
      </c>
      <c r="E63" s="2999">
        <f t="shared" si="1"/>
        <v>76104</v>
      </c>
      <c r="F63" s="2999">
        <f>ROUND(F64+F68,1)</f>
        <v>0</v>
      </c>
      <c r="G63" s="2999">
        <f>ROUND(G64+G68,1)</f>
        <v>76104</v>
      </c>
      <c r="H63" s="2999">
        <f>ROUND(H64+H68,1)</f>
        <v>621782</v>
      </c>
      <c r="I63" s="2999">
        <f>ROUND(I64+I68,1)</f>
        <v>-545678</v>
      </c>
      <c r="J63" s="3565">
        <f>ROUND(J64+J68,1)</f>
        <v>0</v>
      </c>
      <c r="K63" s="221"/>
      <c r="L63" s="1220"/>
      <c r="M63" s="1229"/>
      <c r="N63" s="228"/>
      <c r="O63" s="223"/>
      <c r="P63" s="223"/>
      <c r="Q63" s="223"/>
      <c r="R63" s="223"/>
      <c r="S63" s="223"/>
      <c r="T63" s="223"/>
      <c r="U63" s="223"/>
      <c r="V63" s="223"/>
      <c r="W63" s="223"/>
      <c r="X63" s="223"/>
      <c r="Y63" s="223"/>
      <c r="Z63" s="223"/>
      <c r="AA63" s="223"/>
      <c r="AB63" s="223"/>
      <c r="AC63" s="223"/>
      <c r="AD63" s="228"/>
    </row>
    <row r="64" spans="1:30" s="1227" customFormat="1" ht="29.25" customHeight="1">
      <c r="A64" s="3583" t="s">
        <v>768</v>
      </c>
      <c r="B64" s="2956" t="s">
        <v>769</v>
      </c>
      <c r="C64" s="2999">
        <f>C65+C66+C67</f>
        <v>795000</v>
      </c>
      <c r="D64" s="2999">
        <f t="shared" ref="D64:J64" si="7">D65+D66+D67</f>
        <v>222000</v>
      </c>
      <c r="E64" s="2999">
        <f t="shared" si="7"/>
        <v>76104</v>
      </c>
      <c r="F64" s="2999">
        <f t="shared" si="7"/>
        <v>0</v>
      </c>
      <c r="G64" s="2999">
        <f t="shared" si="7"/>
        <v>76104</v>
      </c>
      <c r="H64" s="2999">
        <f t="shared" si="7"/>
        <v>621782</v>
      </c>
      <c r="I64" s="2999">
        <f t="shared" si="7"/>
        <v>-545678</v>
      </c>
      <c r="J64" s="3565">
        <f t="shared" si="7"/>
        <v>0</v>
      </c>
      <c r="K64" s="221"/>
      <c r="L64" s="226"/>
      <c r="N64" s="228"/>
      <c r="O64" s="223"/>
      <c r="P64" s="223"/>
      <c r="Q64" s="229"/>
      <c r="R64" s="223"/>
      <c r="S64" s="223"/>
      <c r="T64" s="223"/>
      <c r="U64" s="223"/>
      <c r="V64" s="223"/>
      <c r="W64" s="223"/>
      <c r="X64" s="223"/>
      <c r="Y64" s="223"/>
      <c r="Z64" s="223"/>
      <c r="AA64" s="223"/>
      <c r="AB64" s="223"/>
      <c r="AC64" s="223"/>
      <c r="AD64" s="228"/>
    </row>
    <row r="65" spans="1:30" s="1227" customFormat="1" ht="29.25" customHeight="1">
      <c r="A65" s="3585" t="s">
        <v>2496</v>
      </c>
      <c r="B65" s="2961">
        <v>360101</v>
      </c>
      <c r="C65" s="3001">
        <v>151000</v>
      </c>
      <c r="D65" s="3001">
        <v>41000</v>
      </c>
      <c r="E65" s="2999">
        <f t="shared" si="1"/>
        <v>0</v>
      </c>
      <c r="F65" s="3001"/>
      <c r="G65" s="3001"/>
      <c r="H65" s="3000">
        <f>'VENITURI '!C64</f>
        <v>546188</v>
      </c>
      <c r="I65" s="3001">
        <v>-546188</v>
      </c>
      <c r="J65" s="3576">
        <f>ROUND(E65-H65-I65,1)</f>
        <v>0</v>
      </c>
      <c r="K65" s="221"/>
      <c r="L65" s="226"/>
      <c r="N65" s="228"/>
      <c r="O65" s="223"/>
      <c r="P65" s="223"/>
      <c r="Q65" s="229"/>
      <c r="R65" s="223"/>
      <c r="S65" s="223"/>
      <c r="T65" s="223"/>
      <c r="U65" s="223"/>
      <c r="V65" s="223"/>
      <c r="W65" s="223"/>
      <c r="X65" s="223"/>
      <c r="Y65" s="223"/>
      <c r="Z65" s="223"/>
      <c r="AA65" s="223"/>
      <c r="AB65" s="223"/>
      <c r="AC65" s="223"/>
      <c r="AD65" s="228"/>
    </row>
    <row r="66" spans="1:30" s="1227" customFormat="1" ht="21.75" customHeight="1">
      <c r="A66" s="3597" t="s">
        <v>770</v>
      </c>
      <c r="B66" s="3589">
        <v>362400</v>
      </c>
      <c r="C66" s="3000"/>
      <c r="D66" s="3001"/>
      <c r="E66" s="3000">
        <f t="shared" si="1"/>
        <v>0</v>
      </c>
      <c r="F66" s="3001"/>
      <c r="G66" s="3001"/>
      <c r="H66" s="3000">
        <f>'VENITURI '!C65+'VENITURI '!D65</f>
        <v>-510</v>
      </c>
      <c r="I66" s="3001">
        <v>510</v>
      </c>
      <c r="J66" s="3576">
        <f>ROUND(E66-H66-I66,1)</f>
        <v>0</v>
      </c>
      <c r="K66" s="221"/>
      <c r="L66" s="226"/>
      <c r="N66" s="228"/>
      <c r="O66" s="223"/>
      <c r="P66" s="223"/>
      <c r="Q66" s="229"/>
      <c r="R66" s="223"/>
      <c r="S66" s="223"/>
      <c r="T66" s="223"/>
      <c r="U66" s="223"/>
      <c r="V66" s="223"/>
      <c r="W66" s="223"/>
      <c r="X66" s="223"/>
      <c r="Y66" s="223"/>
      <c r="Z66" s="223"/>
      <c r="AA66" s="223"/>
      <c r="AB66" s="223"/>
      <c r="AC66" s="223"/>
      <c r="AD66" s="228"/>
    </row>
    <row r="67" spans="1:30" s="1229" customFormat="1" ht="18" customHeight="1">
      <c r="A67" s="3596" t="s">
        <v>772</v>
      </c>
      <c r="B67" s="3589">
        <v>365000</v>
      </c>
      <c r="C67" s="3566">
        <v>644000</v>
      </c>
      <c r="D67" s="3566">
        <v>181000</v>
      </c>
      <c r="E67" s="3567">
        <f t="shared" si="1"/>
        <v>76104</v>
      </c>
      <c r="F67" s="3566"/>
      <c r="G67" s="3566">
        <v>76104</v>
      </c>
      <c r="H67" s="3567">
        <f>'VENITURI '!C66+'VENITURI '!D66</f>
        <v>76104</v>
      </c>
      <c r="I67" s="3566"/>
      <c r="J67" s="3568">
        <f>ROUND(E67-H67-I67,1)</f>
        <v>0</v>
      </c>
      <c r="K67" s="221"/>
      <c r="L67" s="1220"/>
      <c r="M67" s="1227"/>
      <c r="N67" s="228"/>
      <c r="O67" s="223"/>
      <c r="P67" s="223"/>
      <c r="Q67" s="230"/>
      <c r="R67" s="223"/>
      <c r="S67" s="223"/>
      <c r="T67" s="223"/>
      <c r="U67" s="224"/>
      <c r="V67" s="223"/>
      <c r="W67" s="224"/>
      <c r="X67" s="223"/>
      <c r="Y67" s="224"/>
      <c r="Z67" s="223"/>
      <c r="AA67" s="224"/>
      <c r="AB67" s="223"/>
      <c r="AC67" s="224"/>
      <c r="AD67" s="228"/>
    </row>
    <row r="68" spans="1:30" s="1227" customFormat="1" ht="24">
      <c r="A68" s="3583" t="s">
        <v>774</v>
      </c>
      <c r="B68" s="2956" t="s">
        <v>775</v>
      </c>
      <c r="C68" s="2999">
        <f>ROUND(C69,1)</f>
        <v>0</v>
      </c>
      <c r="D68" s="2999">
        <f>ROUND(D69,1)</f>
        <v>0</v>
      </c>
      <c r="E68" s="2999">
        <f t="shared" si="1"/>
        <v>0</v>
      </c>
      <c r="F68" s="2999">
        <f>ROUND(F69,1)</f>
        <v>0</v>
      </c>
      <c r="G68" s="2999">
        <f>ROUND(G69,1)</f>
        <v>0</v>
      </c>
      <c r="H68" s="2999">
        <f>ROUND(H69,1)</f>
        <v>0</v>
      </c>
      <c r="I68" s="2999">
        <f>ROUND(I69,1)</f>
        <v>0</v>
      </c>
      <c r="J68" s="3565">
        <f>ROUND(J69,1)</f>
        <v>0</v>
      </c>
      <c r="K68" s="221"/>
      <c r="L68" s="1220"/>
      <c r="M68" s="1229"/>
      <c r="N68" s="228"/>
      <c r="O68" s="223"/>
      <c r="P68" s="223"/>
      <c r="Q68" s="223"/>
      <c r="R68" s="223"/>
      <c r="S68" s="223"/>
      <c r="T68" s="223"/>
      <c r="U68" s="223"/>
      <c r="V68" s="223"/>
      <c r="W68" s="223"/>
      <c r="X68" s="223"/>
      <c r="Y68" s="223"/>
      <c r="Z68" s="223"/>
      <c r="AA68" s="223"/>
      <c r="AB68" s="223"/>
      <c r="AC68" s="223"/>
      <c r="AD68" s="228"/>
    </row>
    <row r="69" spans="1:30" s="1229" customFormat="1" ht="23.25" customHeight="1">
      <c r="A69" s="3590" t="s">
        <v>776</v>
      </c>
      <c r="B69" s="3589">
        <v>370100</v>
      </c>
      <c r="C69" s="3567"/>
      <c r="D69" s="3567"/>
      <c r="E69" s="3567">
        <f t="shared" si="1"/>
        <v>0</v>
      </c>
      <c r="F69" s="3566"/>
      <c r="G69" s="3566"/>
      <c r="H69" s="3567">
        <f>'VENITURI '!C68+'VENITURI '!D68</f>
        <v>0</v>
      </c>
      <c r="I69" s="3566"/>
      <c r="J69" s="3568">
        <f>ROUND(E69-H69-I69,1)</f>
        <v>0</v>
      </c>
      <c r="K69" s="221"/>
      <c r="L69" s="226"/>
      <c r="M69" s="1227"/>
      <c r="N69" s="228"/>
      <c r="O69" s="223"/>
      <c r="P69" s="223"/>
      <c r="Q69" s="224"/>
      <c r="R69" s="223"/>
      <c r="S69" s="223"/>
      <c r="T69" s="223"/>
      <c r="U69" s="224"/>
      <c r="V69" s="223"/>
      <c r="W69" s="224"/>
      <c r="X69" s="223"/>
      <c r="Y69" s="224"/>
      <c r="Z69" s="223"/>
      <c r="AA69" s="224"/>
      <c r="AB69" s="223"/>
      <c r="AC69" s="224"/>
      <c r="AD69" s="228"/>
    </row>
    <row r="70" spans="1:30" s="1227" customFormat="1" ht="29.25" customHeight="1">
      <c r="A70" s="3583" t="s">
        <v>778</v>
      </c>
      <c r="B70" s="2956">
        <v>4100</v>
      </c>
      <c r="C70" s="2999">
        <f>ROUND(+C71,1)</f>
        <v>27690580</v>
      </c>
      <c r="D70" s="2999">
        <f>ROUND(+D71,1)</f>
        <v>27690580</v>
      </c>
      <c r="E70" s="2999">
        <f t="shared" si="1"/>
        <v>27697207</v>
      </c>
      <c r="F70" s="2999">
        <f>ROUND(+F71,1)</f>
        <v>6627</v>
      </c>
      <c r="G70" s="2999">
        <f>ROUND(+G71,1)</f>
        <v>27690580</v>
      </c>
      <c r="H70" s="2999">
        <f>ROUND(+H71,1)</f>
        <v>27690565</v>
      </c>
      <c r="I70" s="2999">
        <f>ROUND(+I71,1)</f>
        <v>20</v>
      </c>
      <c r="J70" s="3565">
        <f>ROUND(+J71,1)</f>
        <v>6622</v>
      </c>
      <c r="K70" s="221"/>
      <c r="L70" s="1220"/>
      <c r="M70" s="1229"/>
      <c r="N70" s="228"/>
      <c r="O70" s="223"/>
      <c r="P70" s="223"/>
      <c r="Q70" s="223"/>
      <c r="R70" s="223"/>
      <c r="S70" s="223"/>
      <c r="T70" s="223"/>
      <c r="U70" s="223"/>
      <c r="V70" s="223"/>
      <c r="W70" s="223"/>
      <c r="X70" s="223"/>
      <c r="Y70" s="223"/>
      <c r="Z70" s="223"/>
      <c r="AA70" s="223"/>
      <c r="AB70" s="223"/>
      <c r="AC70" s="223"/>
      <c r="AD70" s="228"/>
    </row>
    <row r="71" spans="1:30" s="1227" customFormat="1" ht="29.25" customHeight="1">
      <c r="A71" s="3583" t="s">
        <v>780</v>
      </c>
      <c r="B71" s="2956" t="s">
        <v>779</v>
      </c>
      <c r="C71" s="2999">
        <f>ROUND(+C72+C84,1)</f>
        <v>27690580</v>
      </c>
      <c r="D71" s="2999">
        <f>ROUND(+D72+D84,1)</f>
        <v>27690580</v>
      </c>
      <c r="E71" s="2999">
        <f t="shared" si="1"/>
        <v>27697207</v>
      </c>
      <c r="F71" s="2999">
        <f>ROUND(+F72+F84,1)</f>
        <v>6627</v>
      </c>
      <c r="G71" s="2999">
        <f>ROUND(+G72+G84,1)</f>
        <v>27690580</v>
      </c>
      <c r="H71" s="2999">
        <f>ROUND(+H72+H84,1)</f>
        <v>27690565</v>
      </c>
      <c r="I71" s="2999">
        <f>ROUND(+I72+I84,1)</f>
        <v>20</v>
      </c>
      <c r="J71" s="3565">
        <f>ROUND(+J72+J84,1)</f>
        <v>6622</v>
      </c>
      <c r="K71" s="221"/>
      <c r="L71" s="226"/>
      <c r="N71" s="228"/>
      <c r="O71" s="223"/>
      <c r="P71" s="223"/>
      <c r="Q71" s="223"/>
      <c r="R71" s="223"/>
      <c r="S71" s="223"/>
      <c r="T71" s="223"/>
      <c r="U71" s="223"/>
      <c r="V71" s="223"/>
      <c r="W71" s="223"/>
      <c r="X71" s="223"/>
      <c r="Y71" s="223"/>
      <c r="Z71" s="223"/>
      <c r="AA71" s="223"/>
      <c r="AB71" s="223"/>
      <c r="AC71" s="223"/>
      <c r="AD71" s="228"/>
    </row>
    <row r="72" spans="1:30" s="1227" customFormat="1" ht="15">
      <c r="A72" s="3583" t="s">
        <v>781</v>
      </c>
      <c r="B72" s="2956" t="s">
        <v>782</v>
      </c>
      <c r="C72" s="2999">
        <f t="shared" ref="C72:J72" si="8">ROUND(C73+C74+C75+C76+C77+C78+C79+C80+C81+C82+C83,1)</f>
        <v>27690580</v>
      </c>
      <c r="D72" s="2999">
        <f t="shared" si="8"/>
        <v>27690580</v>
      </c>
      <c r="E72" s="2999">
        <f t="shared" si="8"/>
        <v>27690580</v>
      </c>
      <c r="F72" s="2999">
        <f t="shared" si="8"/>
        <v>0</v>
      </c>
      <c r="G72" s="2999">
        <f t="shared" si="8"/>
        <v>27690580</v>
      </c>
      <c r="H72" s="2999">
        <f t="shared" si="8"/>
        <v>27690571</v>
      </c>
      <c r="I72" s="2999">
        <f t="shared" si="8"/>
        <v>9</v>
      </c>
      <c r="J72" s="3565">
        <f t="shared" si="8"/>
        <v>0</v>
      </c>
      <c r="K72" s="221"/>
      <c r="L72" s="1220"/>
      <c r="N72" s="228"/>
      <c r="O72" s="223"/>
      <c r="P72" s="223"/>
      <c r="Q72" s="223"/>
      <c r="R72" s="223"/>
      <c r="S72" s="223"/>
      <c r="T72" s="223"/>
      <c r="U72" s="223"/>
      <c r="V72" s="223"/>
      <c r="W72" s="223"/>
      <c r="X72" s="223"/>
      <c r="Y72" s="223"/>
      <c r="Z72" s="223"/>
      <c r="AA72" s="223"/>
      <c r="AB72" s="223"/>
      <c r="AC72" s="223"/>
      <c r="AD72" s="228"/>
    </row>
    <row r="73" spans="1:30" s="1229" customFormat="1" ht="31.5" customHeight="1">
      <c r="A73" s="3596" t="s">
        <v>783</v>
      </c>
      <c r="B73" s="3589">
        <v>422200</v>
      </c>
      <c r="C73" s="3567"/>
      <c r="D73" s="3567"/>
      <c r="E73" s="3567">
        <f t="shared" ref="E73:E111" si="9">ROUND(F73+G73,1)</f>
        <v>0</v>
      </c>
      <c r="F73" s="3566"/>
      <c r="G73" s="3566"/>
      <c r="H73" s="3567">
        <f>'VENITURI '!C72+'VENITURI '!D72</f>
        <v>0</v>
      </c>
      <c r="I73" s="3566"/>
      <c r="J73" s="3568">
        <f t="shared" ref="J73:J83" si="10">ROUND(E73-H73-I73,1)</f>
        <v>0</v>
      </c>
      <c r="K73" s="221"/>
      <c r="L73" s="1220"/>
      <c r="M73" s="1227"/>
      <c r="N73" s="228"/>
      <c r="O73" s="223"/>
      <c r="P73" s="223"/>
      <c r="Q73" s="224"/>
      <c r="R73" s="223"/>
      <c r="S73" s="223"/>
      <c r="T73" s="223"/>
      <c r="U73" s="224"/>
      <c r="V73" s="223"/>
      <c r="W73" s="224"/>
      <c r="X73" s="223"/>
      <c r="Y73" s="224"/>
      <c r="Z73" s="223"/>
      <c r="AA73" s="224"/>
      <c r="AB73" s="223"/>
      <c r="AC73" s="224"/>
      <c r="AD73" s="228"/>
    </row>
    <row r="74" spans="1:30" s="1229" customFormat="1" ht="36">
      <c r="A74" s="3605" t="s">
        <v>34</v>
      </c>
      <c r="B74" s="3589">
        <v>422300</v>
      </c>
      <c r="C74" s="3567"/>
      <c r="D74" s="3567"/>
      <c r="E74" s="3567">
        <f t="shared" si="9"/>
        <v>0</v>
      </c>
      <c r="F74" s="3566"/>
      <c r="G74" s="3566"/>
      <c r="H74" s="3567">
        <f>'VENITURI '!C73+'VENITURI '!D73</f>
        <v>-9</v>
      </c>
      <c r="I74" s="3566">
        <v>9</v>
      </c>
      <c r="J74" s="3568">
        <f t="shared" si="10"/>
        <v>0</v>
      </c>
      <c r="K74" s="221"/>
      <c r="L74" s="1220"/>
      <c r="N74" s="228"/>
      <c r="O74" s="223"/>
      <c r="P74" s="223"/>
      <c r="Q74" s="224"/>
      <c r="R74" s="223"/>
      <c r="S74" s="223"/>
      <c r="T74" s="223"/>
      <c r="U74" s="224"/>
      <c r="V74" s="223"/>
      <c r="W74" s="224"/>
      <c r="X74" s="223"/>
      <c r="Y74" s="224"/>
      <c r="Z74" s="223"/>
      <c r="AA74" s="224"/>
      <c r="AB74" s="223"/>
      <c r="AC74" s="224"/>
      <c r="AD74" s="228"/>
    </row>
    <row r="75" spans="1:30" s="1229" customFormat="1" ht="24">
      <c r="A75" s="3605" t="s">
        <v>36</v>
      </c>
      <c r="B75" s="3589">
        <v>422600</v>
      </c>
      <c r="C75" s="3566">
        <v>20507890</v>
      </c>
      <c r="D75" s="3566">
        <v>20507890</v>
      </c>
      <c r="E75" s="3567">
        <f t="shared" si="9"/>
        <v>20507890</v>
      </c>
      <c r="F75" s="3566"/>
      <c r="G75" s="3566">
        <v>20507890</v>
      </c>
      <c r="H75" s="3567">
        <f>'VENITURI '!C74+'VENITURI '!D74</f>
        <v>20507890</v>
      </c>
      <c r="I75" s="3567"/>
      <c r="J75" s="3568">
        <f t="shared" si="10"/>
        <v>0</v>
      </c>
      <c r="K75" s="221"/>
      <c r="L75" s="226"/>
      <c r="N75" s="228"/>
      <c r="O75" s="223"/>
      <c r="P75" s="223"/>
      <c r="Q75" s="224"/>
      <c r="R75" s="223"/>
      <c r="S75" s="223"/>
      <c r="T75" s="223"/>
      <c r="U75" s="224"/>
      <c r="V75" s="223"/>
      <c r="W75" s="224"/>
      <c r="X75" s="223"/>
      <c r="Y75" s="224"/>
      <c r="Z75" s="223"/>
      <c r="AA75" s="224"/>
      <c r="AB75" s="223"/>
      <c r="AC75" s="224"/>
      <c r="AD75" s="228"/>
    </row>
    <row r="76" spans="1:30" s="1229" customFormat="1" ht="36">
      <c r="A76" s="3606" t="s">
        <v>38</v>
      </c>
      <c r="B76" s="3589">
        <v>422700</v>
      </c>
      <c r="C76" s="3567"/>
      <c r="D76" s="3567"/>
      <c r="E76" s="3567">
        <f t="shared" si="9"/>
        <v>0</v>
      </c>
      <c r="F76" s="3566"/>
      <c r="G76" s="3566"/>
      <c r="H76" s="3567">
        <f>'VENITURI '!C75+'VENITURI '!D75</f>
        <v>0</v>
      </c>
      <c r="I76" s="3566"/>
      <c r="J76" s="3568">
        <f t="shared" si="10"/>
        <v>0</v>
      </c>
      <c r="K76" s="221"/>
      <c r="L76" s="226"/>
      <c r="N76" s="228"/>
      <c r="O76" s="223"/>
      <c r="P76" s="223"/>
      <c r="Q76" s="224"/>
      <c r="R76" s="223"/>
      <c r="S76" s="223"/>
      <c r="T76" s="223"/>
      <c r="U76" s="224"/>
      <c r="V76" s="223"/>
      <c r="W76" s="224"/>
      <c r="X76" s="223"/>
      <c r="Y76" s="224"/>
      <c r="Z76" s="223"/>
      <c r="AA76" s="224"/>
      <c r="AB76" s="223"/>
      <c r="AC76" s="224"/>
      <c r="AD76" s="228"/>
    </row>
    <row r="77" spans="1:30" s="1229" customFormat="1" ht="29.25" customHeight="1">
      <c r="A77" s="3607" t="s">
        <v>40</v>
      </c>
      <c r="B77" s="3589">
        <v>424700</v>
      </c>
      <c r="C77" s="3567"/>
      <c r="D77" s="3567"/>
      <c r="E77" s="3567">
        <f t="shared" si="9"/>
        <v>0</v>
      </c>
      <c r="F77" s="3566"/>
      <c r="G77" s="3566"/>
      <c r="H77" s="3567">
        <f>'VENITURI '!C76+'VENITURI '!D76</f>
        <v>0</v>
      </c>
      <c r="I77" s="3566"/>
      <c r="J77" s="3568">
        <f t="shared" si="10"/>
        <v>0</v>
      </c>
      <c r="K77" s="221"/>
      <c r="L77" s="226"/>
      <c r="N77" s="228"/>
      <c r="O77" s="223"/>
      <c r="P77" s="223"/>
      <c r="Q77" s="224"/>
      <c r="R77" s="223"/>
      <c r="S77" s="223"/>
      <c r="T77" s="223"/>
      <c r="U77" s="224"/>
      <c r="V77" s="223"/>
      <c r="W77" s="224"/>
      <c r="X77" s="223"/>
      <c r="Y77" s="224"/>
      <c r="Z77" s="223"/>
      <c r="AA77" s="224"/>
      <c r="AB77" s="223"/>
      <c r="AC77" s="224"/>
      <c r="AD77" s="228"/>
    </row>
    <row r="78" spans="1:30" s="1229" customFormat="1" ht="24">
      <c r="A78" s="3607" t="s">
        <v>42</v>
      </c>
      <c r="B78" s="3589">
        <v>424800</v>
      </c>
      <c r="C78" s="3567"/>
      <c r="D78" s="3567"/>
      <c r="E78" s="3567">
        <f t="shared" si="9"/>
        <v>0</v>
      </c>
      <c r="F78" s="3566"/>
      <c r="G78" s="3566"/>
      <c r="H78" s="3567">
        <f>'VENITURI '!C77+'VENITURI '!D77</f>
        <v>0</v>
      </c>
      <c r="I78" s="3566"/>
      <c r="J78" s="3568">
        <f t="shared" si="10"/>
        <v>0</v>
      </c>
      <c r="K78" s="221"/>
      <c r="L78" s="226"/>
      <c r="N78" s="228"/>
      <c r="O78" s="223"/>
      <c r="P78" s="223"/>
      <c r="Q78" s="224"/>
      <c r="R78" s="223"/>
      <c r="S78" s="223"/>
      <c r="T78" s="223"/>
      <c r="U78" s="224"/>
      <c r="V78" s="223"/>
      <c r="W78" s="224"/>
      <c r="X78" s="223"/>
      <c r="Y78" s="224"/>
      <c r="Z78" s="223"/>
      <c r="AA78" s="224"/>
      <c r="AB78" s="223"/>
      <c r="AC78" s="224"/>
      <c r="AD78" s="228"/>
    </row>
    <row r="79" spans="1:30" s="1229" customFormat="1" ht="24">
      <c r="A79" s="3607" t="s">
        <v>44</v>
      </c>
      <c r="B79" s="3589">
        <v>424900</v>
      </c>
      <c r="C79" s="3567"/>
      <c r="D79" s="3567"/>
      <c r="E79" s="3567">
        <f t="shared" si="9"/>
        <v>0</v>
      </c>
      <c r="F79" s="3566"/>
      <c r="G79" s="3566"/>
      <c r="H79" s="3567">
        <f>'VENITURI '!C78+'VENITURI '!D78</f>
        <v>0</v>
      </c>
      <c r="I79" s="3566"/>
      <c r="J79" s="3568">
        <f t="shared" si="10"/>
        <v>0</v>
      </c>
      <c r="K79" s="221"/>
      <c r="L79" s="226"/>
      <c r="N79" s="228"/>
      <c r="O79" s="223"/>
      <c r="P79" s="223"/>
      <c r="Q79" s="224"/>
      <c r="R79" s="223"/>
      <c r="S79" s="223"/>
      <c r="T79" s="223"/>
      <c r="U79" s="224"/>
      <c r="V79" s="223"/>
      <c r="W79" s="224"/>
      <c r="X79" s="223"/>
      <c r="Y79" s="224"/>
      <c r="Z79" s="223"/>
      <c r="AA79" s="224"/>
      <c r="AB79" s="223"/>
      <c r="AC79" s="224"/>
      <c r="AD79" s="228"/>
    </row>
    <row r="80" spans="1:30" s="1229" customFormat="1" ht="63.75">
      <c r="A80" s="3608" t="s">
        <v>46</v>
      </c>
      <c r="B80" s="3589">
        <v>425000</v>
      </c>
      <c r="C80" s="3567"/>
      <c r="D80" s="3567"/>
      <c r="E80" s="3567">
        <f t="shared" si="9"/>
        <v>0</v>
      </c>
      <c r="F80" s="3566"/>
      <c r="G80" s="3566"/>
      <c r="H80" s="3567">
        <f>'VENITURI '!C79+'VENITURI '!D79</f>
        <v>0</v>
      </c>
      <c r="I80" s="3566"/>
      <c r="J80" s="3568">
        <f t="shared" si="10"/>
        <v>0</v>
      </c>
      <c r="K80" s="221"/>
      <c r="L80" s="226"/>
      <c r="N80" s="228"/>
      <c r="O80" s="223"/>
      <c r="P80" s="223"/>
      <c r="Q80" s="224"/>
      <c r="R80" s="223"/>
      <c r="S80" s="223"/>
      <c r="T80" s="223"/>
      <c r="U80" s="224"/>
      <c r="V80" s="223"/>
      <c r="W80" s="224"/>
      <c r="X80" s="223"/>
      <c r="Y80" s="224"/>
      <c r="Z80" s="223"/>
      <c r="AA80" s="224"/>
      <c r="AB80" s="223"/>
      <c r="AC80" s="224"/>
      <c r="AD80" s="228"/>
    </row>
    <row r="81" spans="1:30" s="1229" customFormat="1" ht="25.5">
      <c r="A81" s="3632" t="s">
        <v>48</v>
      </c>
      <c r="B81" s="3633">
        <v>425300</v>
      </c>
      <c r="C81" s="3571">
        <v>3738320</v>
      </c>
      <c r="D81" s="3571">
        <v>3738320</v>
      </c>
      <c r="E81" s="3572">
        <f t="shared" si="9"/>
        <v>3738320</v>
      </c>
      <c r="F81" s="3571"/>
      <c r="G81" s="3571">
        <v>3738320</v>
      </c>
      <c r="H81" s="3572">
        <f>'VENITURI '!C80+'VENITURI '!D80</f>
        <v>3738320</v>
      </c>
      <c r="I81" s="3572"/>
      <c r="J81" s="3573">
        <f t="shared" si="10"/>
        <v>0</v>
      </c>
      <c r="K81" s="221"/>
      <c r="L81" s="226"/>
      <c r="N81" s="228"/>
      <c r="O81" s="223"/>
      <c r="P81" s="223"/>
      <c r="Q81" s="224"/>
      <c r="R81" s="223"/>
      <c r="S81" s="223"/>
      <c r="T81" s="223"/>
      <c r="U81" s="224"/>
      <c r="V81" s="223"/>
      <c r="W81" s="224"/>
      <c r="X81" s="223"/>
      <c r="Y81" s="224"/>
      <c r="Z81" s="223"/>
      <c r="AA81" s="224"/>
      <c r="AB81" s="223"/>
      <c r="AC81" s="224"/>
      <c r="AD81" s="228"/>
    </row>
    <row r="82" spans="1:30" s="1229" customFormat="1" ht="38.25">
      <c r="A82" s="3630" t="s">
        <v>50</v>
      </c>
      <c r="B82" s="3631">
        <v>427200</v>
      </c>
      <c r="C82" s="2557"/>
      <c r="D82" s="2557"/>
      <c r="E82" s="2557">
        <f t="shared" si="9"/>
        <v>0</v>
      </c>
      <c r="F82" s="2556"/>
      <c r="G82" s="2556"/>
      <c r="H82" s="2557">
        <f>'VENITURI '!C81+'VENITURI '!D81</f>
        <v>0</v>
      </c>
      <c r="I82" s="2556">
        <v>0</v>
      </c>
      <c r="J82" s="3575">
        <f t="shared" si="10"/>
        <v>0</v>
      </c>
      <c r="K82" s="221"/>
      <c r="L82" s="226"/>
      <c r="N82" s="228"/>
      <c r="O82" s="223"/>
      <c r="P82" s="223"/>
      <c r="Q82" s="224"/>
      <c r="R82" s="223"/>
      <c r="S82" s="223"/>
      <c r="T82" s="223"/>
      <c r="U82" s="224"/>
      <c r="V82" s="223"/>
      <c r="W82" s="224"/>
      <c r="X82" s="223"/>
      <c r="Y82" s="224"/>
      <c r="Z82" s="223"/>
      <c r="AA82" s="224"/>
      <c r="AB82" s="223"/>
      <c r="AC82" s="224"/>
      <c r="AD82" s="228"/>
    </row>
    <row r="83" spans="1:30" s="1229" customFormat="1" ht="63.75">
      <c r="A83" s="3609" t="s">
        <v>1819</v>
      </c>
      <c r="B83" s="3601" t="s">
        <v>2037</v>
      </c>
      <c r="C83" s="3566">
        <v>3444370</v>
      </c>
      <c r="D83" s="3566">
        <v>3444370</v>
      </c>
      <c r="E83" s="3567">
        <f t="shared" si="9"/>
        <v>3444370</v>
      </c>
      <c r="F83" s="3566"/>
      <c r="G83" s="3566">
        <v>3444370</v>
      </c>
      <c r="H83" s="3567">
        <f>'VENITURI '!C82+'VENITURI '!D82</f>
        <v>3444370</v>
      </c>
      <c r="I83" s="3567"/>
      <c r="J83" s="3568">
        <f t="shared" si="10"/>
        <v>0</v>
      </c>
      <c r="K83" s="221"/>
      <c r="L83" s="226"/>
      <c r="N83" s="228"/>
      <c r="O83" s="223"/>
      <c r="P83" s="223"/>
      <c r="Q83" s="224"/>
      <c r="R83" s="223"/>
      <c r="S83" s="223"/>
      <c r="T83" s="223"/>
      <c r="U83" s="224"/>
      <c r="V83" s="223"/>
      <c r="W83" s="224"/>
      <c r="X83" s="223"/>
      <c r="Y83" s="224"/>
      <c r="Z83" s="223"/>
      <c r="AA83" s="224"/>
      <c r="AB83" s="223"/>
      <c r="AC83" s="224"/>
      <c r="AD83" s="228"/>
    </row>
    <row r="84" spans="1:30" s="1227" customFormat="1" ht="15">
      <c r="A84" s="3583" t="s">
        <v>52</v>
      </c>
      <c r="B84" s="2956" t="s">
        <v>53</v>
      </c>
      <c r="C84" s="2999">
        <f>ROUND(+C85+C86+C87+C88+C89+C90+C91+C92,1)</f>
        <v>0</v>
      </c>
      <c r="D84" s="2999">
        <f>ROUND(+D85+D86+D87+D88+D89+D90+D91+D92,1)</f>
        <v>0</v>
      </c>
      <c r="E84" s="2999">
        <f t="shared" si="9"/>
        <v>6627</v>
      </c>
      <c r="F84" s="2999">
        <f>ROUND(+F85+F86+F87+F88+F89+F90+F91+F92,1)</f>
        <v>6627</v>
      </c>
      <c r="G84" s="2999">
        <f>ROUND(+G85+G86+G87+G88+G89+G90+G91+G92,1)</f>
        <v>0</v>
      </c>
      <c r="H84" s="2999">
        <f>ROUND(+H85+H86+H87+H88+H89+H90+H91+H92,1)</f>
        <v>-6</v>
      </c>
      <c r="I84" s="2999">
        <f>ROUND(+I85+I86+I87+I88+I89+I90+I91+I92,1)</f>
        <v>11</v>
      </c>
      <c r="J84" s="3565">
        <f>ROUND(+J85+J86+J87+J88+J89+J90+J91+J92,1)</f>
        <v>6622</v>
      </c>
      <c r="K84" s="221"/>
      <c r="L84" s="226"/>
      <c r="M84" s="1229"/>
      <c r="N84" s="228"/>
      <c r="O84" s="223"/>
      <c r="P84" s="223"/>
      <c r="Q84" s="223"/>
      <c r="R84" s="223"/>
      <c r="S84" s="223"/>
      <c r="T84" s="223"/>
      <c r="U84" s="223"/>
      <c r="V84" s="223"/>
      <c r="W84" s="223"/>
      <c r="X84" s="223"/>
      <c r="Y84" s="223"/>
      <c r="Z84" s="223"/>
      <c r="AA84" s="223"/>
      <c r="AB84" s="223"/>
      <c r="AC84" s="223"/>
      <c r="AD84" s="228"/>
    </row>
    <row r="85" spans="1:30" s="1227" customFormat="1" ht="36">
      <c r="A85" s="3605" t="s">
        <v>54</v>
      </c>
      <c r="B85" s="3589">
        <v>430200</v>
      </c>
      <c r="C85" s="3567"/>
      <c r="D85" s="3567"/>
      <c r="E85" s="3567">
        <f t="shared" si="9"/>
        <v>0</v>
      </c>
      <c r="F85" s="3566"/>
      <c r="G85" s="3566">
        <v>0</v>
      </c>
      <c r="H85" s="3567">
        <f>'VENITURI '!C84+'VENITURI '!D84</f>
        <v>0</v>
      </c>
      <c r="I85" s="3577">
        <v>0</v>
      </c>
      <c r="J85" s="3568">
        <f t="shared" ref="J85:J111" si="11">ROUND(E85-H85-I85,1)</f>
        <v>0</v>
      </c>
      <c r="K85" s="221"/>
      <c r="L85" s="226"/>
      <c r="N85" s="228"/>
      <c r="O85" s="223"/>
      <c r="P85" s="223"/>
      <c r="Q85" s="223"/>
      <c r="R85" s="223"/>
      <c r="S85" s="223"/>
      <c r="T85" s="223"/>
      <c r="U85" s="223"/>
      <c r="V85" s="223"/>
      <c r="W85" s="223"/>
      <c r="X85" s="223"/>
      <c r="Y85" s="223"/>
      <c r="Z85" s="223"/>
      <c r="AA85" s="223"/>
      <c r="AB85" s="223"/>
      <c r="AC85" s="223"/>
      <c r="AD85" s="228"/>
    </row>
    <row r="86" spans="1:30" s="1227" customFormat="1" ht="36">
      <c r="A86" s="3606" t="s">
        <v>38</v>
      </c>
      <c r="B86" s="3589">
        <v>430300</v>
      </c>
      <c r="C86" s="3567"/>
      <c r="D86" s="3567"/>
      <c r="E86" s="3567">
        <f t="shared" si="9"/>
        <v>0</v>
      </c>
      <c r="F86" s="3566"/>
      <c r="G86" s="3566"/>
      <c r="H86" s="3567">
        <f>'VENITURI '!C85+'VENITURI '!D85</f>
        <v>0</v>
      </c>
      <c r="I86" s="3577">
        <v>0</v>
      </c>
      <c r="J86" s="3568">
        <f t="shared" si="11"/>
        <v>0</v>
      </c>
      <c r="K86" s="221"/>
      <c r="L86" s="1220"/>
      <c r="N86" s="228"/>
      <c r="O86" s="223"/>
      <c r="P86" s="223"/>
      <c r="Q86" s="223"/>
      <c r="R86" s="223"/>
      <c r="S86" s="223"/>
      <c r="T86" s="223"/>
      <c r="U86" s="223"/>
      <c r="V86" s="223"/>
      <c r="W86" s="223"/>
      <c r="X86" s="223"/>
      <c r="Y86" s="223"/>
      <c r="Z86" s="223"/>
      <c r="AA86" s="223"/>
      <c r="AB86" s="223"/>
      <c r="AC86" s="223"/>
      <c r="AD86" s="228"/>
    </row>
    <row r="87" spans="1:30" s="1229" customFormat="1" ht="48">
      <c r="A87" s="3596" t="s">
        <v>57</v>
      </c>
      <c r="B87" s="3589">
        <v>430500</v>
      </c>
      <c r="C87" s="3567"/>
      <c r="D87" s="3567"/>
      <c r="E87" s="3567">
        <f t="shared" si="9"/>
        <v>230</v>
      </c>
      <c r="F87" s="3566">
        <v>230</v>
      </c>
      <c r="G87" s="3566"/>
      <c r="H87" s="3567">
        <f>'VENITURI '!C86+'VENITURI '!D86</f>
        <v>0</v>
      </c>
      <c r="I87" s="3577"/>
      <c r="J87" s="3568">
        <f t="shared" si="11"/>
        <v>230</v>
      </c>
      <c r="K87" s="221"/>
      <c r="L87" s="1220"/>
      <c r="M87" s="1227"/>
      <c r="N87" s="228"/>
      <c r="O87" s="223"/>
      <c r="P87" s="223"/>
      <c r="Q87" s="224"/>
      <c r="R87" s="223"/>
      <c r="S87" s="223"/>
      <c r="T87" s="223"/>
      <c r="U87" s="224"/>
      <c r="V87" s="223"/>
      <c r="W87" s="224"/>
      <c r="X87" s="223"/>
      <c r="Y87" s="224"/>
      <c r="Z87" s="223"/>
      <c r="AA87" s="224"/>
      <c r="AB87" s="223"/>
      <c r="AC87" s="224"/>
      <c r="AD87" s="228"/>
    </row>
    <row r="88" spans="1:30" s="1229" customFormat="1" ht="50.25" customHeight="1">
      <c r="A88" s="3590" t="s">
        <v>59</v>
      </c>
      <c r="B88" s="3589">
        <v>430600</v>
      </c>
      <c r="C88" s="3566"/>
      <c r="D88" s="3566"/>
      <c r="E88" s="3567">
        <f t="shared" si="9"/>
        <v>3223</v>
      </c>
      <c r="F88" s="3566">
        <v>3223</v>
      </c>
      <c r="G88" s="3566"/>
      <c r="H88" s="3567">
        <f>'VENITURI '!C87+'VENITURI '!D87</f>
        <v>-6</v>
      </c>
      <c r="I88" s="3577">
        <v>6</v>
      </c>
      <c r="J88" s="3568">
        <f t="shared" si="11"/>
        <v>3223</v>
      </c>
      <c r="K88" s="221"/>
      <c r="L88" s="1220"/>
      <c r="N88" s="228"/>
      <c r="O88" s="223"/>
      <c r="P88" s="223"/>
      <c r="Q88" s="224"/>
      <c r="R88" s="223"/>
      <c r="S88" s="223"/>
      <c r="T88" s="223"/>
      <c r="U88" s="224"/>
      <c r="V88" s="223"/>
      <c r="W88" s="224"/>
      <c r="X88" s="223"/>
      <c r="Y88" s="224"/>
      <c r="Z88" s="223"/>
      <c r="AA88" s="224"/>
      <c r="AB88" s="223"/>
      <c r="AC88" s="224"/>
      <c r="AD88" s="228"/>
    </row>
    <row r="89" spans="1:30" s="227" customFormat="1" ht="33.75" customHeight="1">
      <c r="A89" s="3596" t="s">
        <v>61</v>
      </c>
      <c r="B89" s="3589">
        <v>431100</v>
      </c>
      <c r="C89" s="3567"/>
      <c r="D89" s="3567"/>
      <c r="E89" s="3567">
        <f t="shared" si="9"/>
        <v>0</v>
      </c>
      <c r="F89" s="3566"/>
      <c r="G89" s="3566"/>
      <c r="H89" s="3567">
        <f>'VENITURI '!C88+'VENITURI '!D88</f>
        <v>0</v>
      </c>
      <c r="I89" s="3577"/>
      <c r="J89" s="3568">
        <f t="shared" si="11"/>
        <v>0</v>
      </c>
      <c r="K89" s="221"/>
      <c r="L89" s="226"/>
      <c r="M89" s="1229"/>
      <c r="N89" s="228"/>
      <c r="O89" s="223"/>
      <c r="P89" s="223"/>
      <c r="Q89" s="224"/>
      <c r="R89" s="223"/>
      <c r="S89" s="223"/>
      <c r="T89" s="223"/>
      <c r="U89" s="224"/>
      <c r="V89" s="223"/>
      <c r="W89" s="224"/>
      <c r="X89" s="223"/>
      <c r="Y89" s="224"/>
      <c r="Z89" s="223"/>
      <c r="AA89" s="224"/>
      <c r="AB89" s="223"/>
      <c r="AC89" s="224"/>
      <c r="AD89" s="228"/>
    </row>
    <row r="90" spans="1:30" s="227" customFormat="1" ht="30" customHeight="1">
      <c r="A90" s="3590" t="s">
        <v>1803</v>
      </c>
      <c r="B90" s="3589">
        <v>431200</v>
      </c>
      <c r="C90" s="3567"/>
      <c r="D90" s="3567"/>
      <c r="E90" s="3567">
        <f t="shared" si="9"/>
        <v>0</v>
      </c>
      <c r="F90" s="3566"/>
      <c r="G90" s="3566"/>
      <c r="H90" s="3567">
        <f>'VENITURI '!C89+'VENITURI '!D89</f>
        <v>0</v>
      </c>
      <c r="I90" s="3577"/>
      <c r="J90" s="3568">
        <f t="shared" si="11"/>
        <v>0</v>
      </c>
      <c r="K90" s="221"/>
      <c r="L90" s="226"/>
      <c r="N90" s="228"/>
      <c r="O90" s="223"/>
      <c r="P90" s="223"/>
      <c r="Q90" s="224"/>
      <c r="R90" s="223"/>
      <c r="S90" s="223"/>
      <c r="T90" s="223"/>
      <c r="U90" s="224"/>
      <c r="V90" s="223"/>
      <c r="W90" s="224"/>
      <c r="X90" s="223"/>
      <c r="Y90" s="224"/>
      <c r="Z90" s="223"/>
      <c r="AA90" s="224"/>
      <c r="AB90" s="223"/>
      <c r="AC90" s="224"/>
      <c r="AD90" s="228"/>
    </row>
    <row r="91" spans="1:30" s="228" customFormat="1" ht="93" customHeight="1">
      <c r="A91" s="3610" t="s">
        <v>65</v>
      </c>
      <c r="B91" s="2967">
        <v>431300</v>
      </c>
      <c r="C91" s="3566"/>
      <c r="D91" s="3566"/>
      <c r="E91" s="3567">
        <f t="shared" si="9"/>
        <v>3174</v>
      </c>
      <c r="F91" s="3566">
        <v>3174</v>
      </c>
      <c r="G91" s="3566"/>
      <c r="H91" s="3567">
        <f>'VENITURI '!C90+'VENITURI '!D90</f>
        <v>0</v>
      </c>
      <c r="I91" s="3577">
        <v>5</v>
      </c>
      <c r="J91" s="3568">
        <f t="shared" si="11"/>
        <v>3169</v>
      </c>
      <c r="L91" s="1220"/>
      <c r="O91" s="223"/>
    </row>
    <row r="92" spans="1:30" s="228" customFormat="1" ht="36">
      <c r="A92" s="3611" t="s">
        <v>67</v>
      </c>
      <c r="B92" s="2967">
        <v>431800</v>
      </c>
      <c r="C92" s="3567"/>
      <c r="D92" s="3567"/>
      <c r="E92" s="3567">
        <f t="shared" si="9"/>
        <v>0</v>
      </c>
      <c r="F92" s="3578"/>
      <c r="G92" s="3566"/>
      <c r="H92" s="3567">
        <f>'VENITURI '!C91+'VENITURI '!D91</f>
        <v>0</v>
      </c>
      <c r="I92" s="3577"/>
      <c r="J92" s="3568">
        <f t="shared" si="11"/>
        <v>0</v>
      </c>
      <c r="L92" s="1220"/>
      <c r="O92" s="223"/>
    </row>
    <row r="93" spans="1:30" s="1771" customFormat="1" ht="24" hidden="1">
      <c r="A93" s="3612" t="s">
        <v>69</v>
      </c>
      <c r="B93" s="3613" t="s">
        <v>70</v>
      </c>
      <c r="C93" s="2999">
        <f>C94+C97</f>
        <v>0</v>
      </c>
      <c r="D93" s="2999">
        <f>D94+D97</f>
        <v>0</v>
      </c>
      <c r="E93" s="2999">
        <f t="shared" si="9"/>
        <v>0</v>
      </c>
      <c r="F93" s="3579">
        <f t="shared" ref="F93" si="12">F94+F97</f>
        <v>0</v>
      </c>
      <c r="G93" s="3579">
        <f>G94</f>
        <v>0</v>
      </c>
      <c r="H93" s="2999">
        <f>'VENITURI '!C92+'VENITURI '!D92</f>
        <v>0</v>
      </c>
      <c r="I93" s="3579">
        <v>0</v>
      </c>
      <c r="J93" s="3565">
        <f t="shared" si="11"/>
        <v>0</v>
      </c>
      <c r="L93" s="1772"/>
      <c r="O93" s="1773"/>
    </row>
    <row r="94" spans="1:30" s="228" customFormat="1" ht="15" hidden="1">
      <c r="A94" s="3611" t="s">
        <v>71</v>
      </c>
      <c r="B94" s="2967" t="s">
        <v>72</v>
      </c>
      <c r="C94" s="3567">
        <f>C95+C96</f>
        <v>0</v>
      </c>
      <c r="D94" s="3567">
        <f>D95+D96</f>
        <v>0</v>
      </c>
      <c r="E94" s="3567">
        <f t="shared" si="9"/>
        <v>0</v>
      </c>
      <c r="F94" s="3566">
        <f t="shared" ref="F94" si="13">F95+F96</f>
        <v>0</v>
      </c>
      <c r="G94" s="3566"/>
      <c r="H94" s="3567">
        <f>'VENITURI '!C93+'VENITURI '!D93</f>
        <v>0</v>
      </c>
      <c r="I94" s="3579">
        <v>0</v>
      </c>
      <c r="J94" s="3568">
        <f t="shared" si="11"/>
        <v>0</v>
      </c>
      <c r="L94" s="1220"/>
      <c r="O94" s="223"/>
    </row>
    <row r="95" spans="1:30" s="228" customFormat="1" ht="15" hidden="1">
      <c r="A95" s="3611" t="s">
        <v>73</v>
      </c>
      <c r="B95" s="2967" t="s">
        <v>74</v>
      </c>
      <c r="C95" s="3567"/>
      <c r="D95" s="3567"/>
      <c r="E95" s="3567">
        <f t="shared" si="9"/>
        <v>0</v>
      </c>
      <c r="F95" s="3566"/>
      <c r="G95" s="3566"/>
      <c r="H95" s="3567">
        <f>'VENITURI '!C94+'VENITURI '!D94</f>
        <v>0</v>
      </c>
      <c r="I95" s="3579">
        <v>0</v>
      </c>
      <c r="J95" s="3568">
        <f t="shared" si="11"/>
        <v>0</v>
      </c>
      <c r="L95" s="1220"/>
      <c r="O95" s="223"/>
    </row>
    <row r="96" spans="1:30" s="228" customFormat="1" ht="15" hidden="1">
      <c r="A96" s="3611" t="s">
        <v>75</v>
      </c>
      <c r="B96" s="2967" t="s">
        <v>76</v>
      </c>
      <c r="C96" s="3567"/>
      <c r="D96" s="3567"/>
      <c r="E96" s="3567">
        <f t="shared" si="9"/>
        <v>0</v>
      </c>
      <c r="F96" s="3566"/>
      <c r="G96" s="3566">
        <v>0</v>
      </c>
      <c r="H96" s="3567">
        <f>'VENITURI '!C95+'VENITURI '!D95</f>
        <v>0</v>
      </c>
      <c r="I96" s="3579">
        <v>0</v>
      </c>
      <c r="J96" s="3568">
        <f t="shared" si="11"/>
        <v>0</v>
      </c>
      <c r="L96" s="1220"/>
      <c r="O96" s="223"/>
    </row>
    <row r="97" spans="1:15" s="228" customFormat="1" ht="15" hidden="1">
      <c r="A97" s="3611" t="s">
        <v>77</v>
      </c>
      <c r="B97" s="2967" t="s">
        <v>78</v>
      </c>
      <c r="C97" s="3567">
        <f>C98+C99</f>
        <v>0</v>
      </c>
      <c r="D97" s="3567">
        <f>D98+D99</f>
        <v>0</v>
      </c>
      <c r="E97" s="3567">
        <f t="shared" si="9"/>
        <v>0</v>
      </c>
      <c r="F97" s="3566">
        <f>F98+F99</f>
        <v>0</v>
      </c>
      <c r="G97" s="3566">
        <v>0</v>
      </c>
      <c r="H97" s="3567">
        <f>'VENITURI '!C96+'VENITURI '!D96</f>
        <v>0</v>
      </c>
      <c r="I97" s="3579">
        <v>0</v>
      </c>
      <c r="J97" s="3568">
        <f t="shared" si="11"/>
        <v>0</v>
      </c>
      <c r="L97" s="1220"/>
      <c r="O97" s="223"/>
    </row>
    <row r="98" spans="1:15" s="228" customFormat="1" ht="15" hidden="1">
      <c r="A98" s="3611" t="s">
        <v>73</v>
      </c>
      <c r="B98" s="2967" t="s">
        <v>79</v>
      </c>
      <c r="C98" s="3567"/>
      <c r="D98" s="3567"/>
      <c r="E98" s="3567">
        <f t="shared" si="9"/>
        <v>0</v>
      </c>
      <c r="F98" s="3578"/>
      <c r="G98" s="3566">
        <v>0</v>
      </c>
      <c r="H98" s="3567">
        <f>'VENITURI '!C97+'VENITURI '!D97</f>
        <v>0</v>
      </c>
      <c r="I98" s="3579">
        <v>0</v>
      </c>
      <c r="J98" s="3568">
        <f t="shared" si="11"/>
        <v>0</v>
      </c>
      <c r="L98" s="1220"/>
      <c r="O98" s="223"/>
    </row>
    <row r="99" spans="1:15" s="228" customFormat="1" ht="15" hidden="1">
      <c r="A99" s="3611" t="s">
        <v>75</v>
      </c>
      <c r="B99" s="2967" t="s">
        <v>80</v>
      </c>
      <c r="C99" s="3567"/>
      <c r="D99" s="3567"/>
      <c r="E99" s="3567">
        <f t="shared" si="9"/>
        <v>0</v>
      </c>
      <c r="F99" s="3578"/>
      <c r="G99" s="3566">
        <v>0</v>
      </c>
      <c r="H99" s="3567">
        <f>'VENITURI '!C98+'VENITURI '!D98</f>
        <v>0</v>
      </c>
      <c r="I99" s="3579">
        <v>0</v>
      </c>
      <c r="J99" s="3568">
        <f t="shared" si="11"/>
        <v>0</v>
      </c>
      <c r="L99" s="1220"/>
      <c r="O99" s="223"/>
    </row>
    <row r="100" spans="1:15" s="228" customFormat="1" ht="24">
      <c r="A100" s="3612" t="s">
        <v>2040</v>
      </c>
      <c r="B100" s="3613" t="s">
        <v>2041</v>
      </c>
      <c r="C100" s="2999">
        <f>C101</f>
        <v>0</v>
      </c>
      <c r="D100" s="2999">
        <f>D101</f>
        <v>0</v>
      </c>
      <c r="E100" s="2999">
        <f t="shared" si="9"/>
        <v>0</v>
      </c>
      <c r="F100" s="2999">
        <f>F101</f>
        <v>0</v>
      </c>
      <c r="G100" s="2999">
        <f>G101</f>
        <v>0</v>
      </c>
      <c r="H100" s="3614">
        <f>H101</f>
        <v>-1096770</v>
      </c>
      <c r="I100" s="2999">
        <f>I101</f>
        <v>1096770</v>
      </c>
      <c r="J100" s="3568">
        <f t="shared" si="11"/>
        <v>0</v>
      </c>
      <c r="L100" s="1220"/>
      <c r="O100" s="223"/>
    </row>
    <row r="101" spans="1:15" s="228" customFormat="1" ht="24">
      <c r="A101" s="3615" t="s">
        <v>2040</v>
      </c>
      <c r="B101" s="3616" t="s">
        <v>2556</v>
      </c>
      <c r="C101" s="2999"/>
      <c r="D101" s="2999"/>
      <c r="E101" s="3000">
        <f t="shared" si="9"/>
        <v>0</v>
      </c>
      <c r="F101" s="3001"/>
      <c r="G101" s="3001"/>
      <c r="H101" s="3000">
        <f>+'VENITURI '!C99+'VENITURI '!D99</f>
        <v>-1096770</v>
      </c>
      <c r="I101" s="3001">
        <v>1096770</v>
      </c>
      <c r="J101" s="3568">
        <f t="shared" si="11"/>
        <v>0</v>
      </c>
      <c r="L101" s="1220"/>
      <c r="O101" s="223"/>
    </row>
    <row r="102" spans="1:15" s="228" customFormat="1" ht="36">
      <c r="A102" s="3584" t="s">
        <v>81</v>
      </c>
      <c r="B102" s="2950">
        <v>48</v>
      </c>
      <c r="C102" s="2999">
        <f>C103+C109+C106</f>
        <v>0</v>
      </c>
      <c r="D102" s="2999">
        <f t="shared" ref="D102:I102" si="14">D103+D109+D106</f>
        <v>0</v>
      </c>
      <c r="E102" s="2999">
        <f t="shared" si="14"/>
        <v>0</v>
      </c>
      <c r="F102" s="2999">
        <f t="shared" si="14"/>
        <v>0</v>
      </c>
      <c r="G102" s="2999">
        <f t="shared" si="14"/>
        <v>0</v>
      </c>
      <c r="H102" s="2999">
        <f t="shared" si="14"/>
        <v>0</v>
      </c>
      <c r="I102" s="3579">
        <f t="shared" si="14"/>
        <v>0</v>
      </c>
      <c r="J102" s="3568">
        <f t="shared" si="11"/>
        <v>0</v>
      </c>
      <c r="L102" s="1220"/>
      <c r="O102" s="223"/>
    </row>
    <row r="103" spans="1:15" s="228" customFormat="1" ht="21.75" customHeight="1">
      <c r="A103" s="3610" t="s">
        <v>77</v>
      </c>
      <c r="B103" s="2967" t="s">
        <v>2133</v>
      </c>
      <c r="C103" s="2999">
        <f>C104+C105</f>
        <v>0</v>
      </c>
      <c r="D103" s="2999">
        <f>D104+D105</f>
        <v>0</v>
      </c>
      <c r="E103" s="2999">
        <f t="shared" si="9"/>
        <v>0</v>
      </c>
      <c r="F103" s="2999">
        <f t="shared" ref="F103:G103" si="15">F104+F105</f>
        <v>0</v>
      </c>
      <c r="G103" s="2999">
        <f t="shared" si="15"/>
        <v>0</v>
      </c>
      <c r="H103" s="2999">
        <f>+'VENITURI '!C102+'VENITURI '!D102</f>
        <v>0</v>
      </c>
      <c r="I103" s="3579">
        <f t="shared" ref="I103:I109" si="16">I104+I105</f>
        <v>0</v>
      </c>
      <c r="J103" s="3565">
        <f t="shared" si="11"/>
        <v>0</v>
      </c>
      <c r="L103" s="1220"/>
      <c r="O103" s="223"/>
    </row>
    <row r="104" spans="1:15" s="228" customFormat="1" ht="21" customHeight="1">
      <c r="A104" s="3610" t="s">
        <v>73</v>
      </c>
      <c r="B104" s="2967" t="s">
        <v>2134</v>
      </c>
      <c r="C104" s="3001"/>
      <c r="D104" s="3001"/>
      <c r="E104" s="3000">
        <f t="shared" si="9"/>
        <v>0</v>
      </c>
      <c r="F104" s="3001"/>
      <c r="G104" s="3001"/>
      <c r="H104" s="2999">
        <f>+'VENITURI '!C103+'VENITURI '!D103</f>
        <v>0</v>
      </c>
      <c r="I104" s="3001">
        <f t="shared" si="16"/>
        <v>0</v>
      </c>
      <c r="J104" s="3576">
        <f t="shared" si="11"/>
        <v>0</v>
      </c>
      <c r="L104" s="1220"/>
      <c r="O104" s="223"/>
    </row>
    <row r="105" spans="1:15" s="228" customFormat="1" ht="19.5" customHeight="1">
      <c r="A105" s="3610" t="s">
        <v>75</v>
      </c>
      <c r="B105" s="2967" t="s">
        <v>2135</v>
      </c>
      <c r="C105" s="3001"/>
      <c r="D105" s="3001"/>
      <c r="E105" s="3000">
        <f t="shared" si="9"/>
        <v>0</v>
      </c>
      <c r="F105" s="3001"/>
      <c r="G105" s="3001"/>
      <c r="H105" s="2999">
        <f>+'VENITURI '!C104+'VENITURI '!D104</f>
        <v>0</v>
      </c>
      <c r="I105" s="3001">
        <f t="shared" si="16"/>
        <v>0</v>
      </c>
      <c r="J105" s="3576">
        <f t="shared" si="11"/>
        <v>0</v>
      </c>
      <c r="L105" s="1220"/>
      <c r="O105" s="223"/>
    </row>
    <row r="106" spans="1:15" s="228" customFormat="1" ht="19.5" customHeight="1">
      <c r="A106" s="3610" t="s">
        <v>1954</v>
      </c>
      <c r="B106" s="2967" t="s">
        <v>2564</v>
      </c>
      <c r="C106" s="3579">
        <f>C107+C108</f>
        <v>0</v>
      </c>
      <c r="D106" s="3579">
        <f t="shared" ref="D106" si="17">D107+D108</f>
        <v>0</v>
      </c>
      <c r="E106" s="2999">
        <f t="shared" si="9"/>
        <v>0</v>
      </c>
      <c r="F106" s="3579">
        <f t="shared" ref="F106" si="18">F107+F108</f>
        <v>0</v>
      </c>
      <c r="G106" s="3579">
        <f t="shared" ref="G106" si="19">G107+G108</f>
        <v>0</v>
      </c>
      <c r="H106" s="2999">
        <f t="shared" ref="H106" si="20">H107+H108</f>
        <v>0</v>
      </c>
      <c r="I106" s="3579">
        <f t="shared" si="16"/>
        <v>0</v>
      </c>
      <c r="J106" s="3565">
        <f t="shared" si="11"/>
        <v>0</v>
      </c>
      <c r="L106" s="1220"/>
      <c r="O106" s="223"/>
    </row>
    <row r="107" spans="1:15" s="228" customFormat="1" ht="19.5" customHeight="1">
      <c r="A107" s="3610" t="s">
        <v>73</v>
      </c>
      <c r="B107" s="2967" t="s">
        <v>2565</v>
      </c>
      <c r="C107" s="3001"/>
      <c r="D107" s="3001"/>
      <c r="E107" s="3000">
        <f t="shared" si="9"/>
        <v>0</v>
      </c>
      <c r="F107" s="3001"/>
      <c r="G107" s="3001"/>
      <c r="H107" s="2999"/>
      <c r="I107" s="3001">
        <f t="shared" si="16"/>
        <v>0</v>
      </c>
      <c r="J107" s="3576">
        <f t="shared" si="11"/>
        <v>0</v>
      </c>
      <c r="L107" s="1220"/>
      <c r="O107" s="223"/>
    </row>
    <row r="108" spans="1:15" s="228" customFormat="1" ht="19.5" customHeight="1">
      <c r="A108" s="3610" t="s">
        <v>75</v>
      </c>
      <c r="B108" s="2967" t="s">
        <v>2566</v>
      </c>
      <c r="C108" s="3001"/>
      <c r="D108" s="3001"/>
      <c r="E108" s="3000">
        <f t="shared" si="9"/>
        <v>0</v>
      </c>
      <c r="F108" s="3001"/>
      <c r="G108" s="3001"/>
      <c r="H108" s="2999"/>
      <c r="I108" s="3001">
        <f t="shared" si="16"/>
        <v>0</v>
      </c>
      <c r="J108" s="3576">
        <f t="shared" si="11"/>
        <v>0</v>
      </c>
      <c r="L108" s="1220"/>
      <c r="O108" s="223"/>
    </row>
    <row r="109" spans="1:15" s="228" customFormat="1" ht="24.6" customHeight="1">
      <c r="A109" s="3617" t="s">
        <v>2323</v>
      </c>
      <c r="B109" s="3613" t="s">
        <v>2324</v>
      </c>
      <c r="C109" s="2999">
        <f>C110+C111</f>
        <v>0</v>
      </c>
      <c r="D109" s="2999">
        <f>D110+D111</f>
        <v>0</v>
      </c>
      <c r="E109" s="2999">
        <f t="shared" si="9"/>
        <v>0</v>
      </c>
      <c r="F109" s="3579"/>
      <c r="G109" s="3579">
        <f>G110+G111</f>
        <v>0</v>
      </c>
      <c r="H109" s="2999">
        <f>+'VENITURI '!C105+'VENITURI '!D105</f>
        <v>0</v>
      </c>
      <c r="I109" s="3579">
        <f t="shared" si="16"/>
        <v>0</v>
      </c>
      <c r="J109" s="3565">
        <f t="shared" si="11"/>
        <v>0</v>
      </c>
      <c r="L109" s="1220"/>
      <c r="O109" s="223"/>
    </row>
    <row r="110" spans="1:15" s="228" customFormat="1" ht="19.5" customHeight="1">
      <c r="A110" s="3610" t="s">
        <v>73</v>
      </c>
      <c r="B110" s="2967" t="s">
        <v>2325</v>
      </c>
      <c r="C110" s="3001"/>
      <c r="D110" s="3001"/>
      <c r="E110" s="3000">
        <f t="shared" si="9"/>
        <v>0</v>
      </c>
      <c r="F110" s="3001"/>
      <c r="G110" s="3001"/>
      <c r="H110" s="2999">
        <f>+'VENITURI '!C106+'VENITURI '!D106</f>
        <v>0</v>
      </c>
      <c r="I110" s="3001"/>
      <c r="J110" s="3576">
        <f t="shared" si="11"/>
        <v>0</v>
      </c>
      <c r="L110" s="1220"/>
      <c r="O110" s="223"/>
    </row>
    <row r="111" spans="1:15" s="228" customFormat="1" ht="19.5" customHeight="1">
      <c r="A111" s="2952" t="s">
        <v>75</v>
      </c>
      <c r="B111" s="2953" t="s">
        <v>2326</v>
      </c>
      <c r="C111" s="3580"/>
      <c r="D111" s="3580"/>
      <c r="E111" s="3581">
        <f t="shared" si="9"/>
        <v>0</v>
      </c>
      <c r="F111" s="3580"/>
      <c r="G111" s="3580"/>
      <c r="H111" s="3581">
        <f>+'VENITURI '!C107+'VENITURI '!D107</f>
        <v>0</v>
      </c>
      <c r="I111" s="3580"/>
      <c r="J111" s="3582">
        <f t="shared" si="11"/>
        <v>0</v>
      </c>
      <c r="L111" s="1220"/>
      <c r="O111" s="223"/>
    </row>
    <row r="112" spans="1:15" s="228" customFormat="1">
      <c r="A112" s="231"/>
      <c r="B112" s="232"/>
      <c r="C112" s="218"/>
      <c r="D112" s="218"/>
      <c r="E112" s="218"/>
      <c r="F112" s="218"/>
      <c r="G112" s="218"/>
      <c r="H112" s="218"/>
      <c r="I112" s="218"/>
      <c r="J112" s="218"/>
      <c r="L112" s="1220"/>
    </row>
    <row r="113" spans="1:13" s="228" customFormat="1" ht="15.75">
      <c r="A113" s="233"/>
      <c r="B113" s="233"/>
      <c r="C113" s="235"/>
      <c r="G113" s="236"/>
      <c r="H113" s="236"/>
      <c r="I113" s="236"/>
      <c r="J113" s="236"/>
      <c r="K113" s="233"/>
      <c r="L113" s="233"/>
    </row>
    <row r="114" spans="1:13" s="228" customFormat="1" ht="15.75" customHeight="1">
      <c r="A114" s="4092" t="str">
        <f>'ANEXA 1'!B94</f>
        <v>DIRECTOR  GENERAL,</v>
      </c>
      <c r="B114" s="4092"/>
      <c r="C114" s="218"/>
      <c r="E114" s="4093" t="str">
        <f>'ANEXA 1'!D94</f>
        <v>DIRECTOR  EXECUTIV  ECONOMIC,</v>
      </c>
      <c r="F114" s="4093"/>
      <c r="G114" s="4093"/>
      <c r="H114" s="1224"/>
      <c r="I114" s="1129"/>
      <c r="J114" s="1224"/>
      <c r="M114" s="1220"/>
    </row>
    <row r="115" spans="1:13" s="216" customFormat="1" ht="15">
      <c r="B115" s="1232"/>
      <c r="E115" s="1869"/>
      <c r="F115" s="1869"/>
      <c r="G115" s="1869"/>
      <c r="I115" s="1129"/>
      <c r="L115" s="1215"/>
    </row>
    <row r="116" spans="1:13" s="216" customFormat="1" ht="21" customHeight="1">
      <c r="A116" s="4089" t="str">
        <f>'ANEXA 1'!B96</f>
        <v>EC.ALBU DRINA</v>
      </c>
      <c r="B116" s="4089"/>
      <c r="E116" s="4089" t="str">
        <f>'ANEXA 1'!D96</f>
        <v>EC.BIRCU FLORINA</v>
      </c>
      <c r="F116" s="4089"/>
      <c r="G116" s="4089"/>
      <c r="I116" s="1129"/>
      <c r="L116" s="1215"/>
    </row>
    <row r="117" spans="1:13" s="216" customFormat="1" ht="14.25">
      <c r="A117" s="4088">
        <f>'ANEXA 1'!B97</f>
        <v>0</v>
      </c>
      <c r="B117" s="4088"/>
      <c r="L117" s="1215"/>
    </row>
    <row r="118" spans="1:13" s="216" customFormat="1">
      <c r="B118" s="1232"/>
      <c r="L118" s="1215"/>
    </row>
    <row r="119" spans="1:13" s="216" customFormat="1" ht="15">
      <c r="A119" s="4091">
        <f>+'ANEXA 1'!B99</f>
        <v>0</v>
      </c>
      <c r="B119" s="4091"/>
      <c r="E119" s="4090">
        <f>'ANEXA 1'!D99</f>
        <v>0</v>
      </c>
      <c r="F119" s="4090"/>
      <c r="G119" s="4090"/>
      <c r="L119" s="1215"/>
    </row>
    <row r="120" spans="1:13" s="216" customFormat="1" ht="17.25" customHeight="1">
      <c r="A120" s="1595"/>
      <c r="B120" s="1561"/>
      <c r="E120" s="1579"/>
      <c r="F120" s="1579"/>
      <c r="G120" s="1579"/>
      <c r="L120" s="1215"/>
    </row>
    <row r="121" spans="1:13" s="216" customFormat="1" ht="15">
      <c r="A121" s="4091">
        <f>+'ANEXA 1'!B101</f>
        <v>0</v>
      </c>
      <c r="B121" s="4091"/>
      <c r="E121" s="4090">
        <f>'ANEXA 1'!D101</f>
        <v>0</v>
      </c>
      <c r="F121" s="4090"/>
      <c r="G121" s="4090"/>
      <c r="L121" s="1215"/>
    </row>
    <row r="122" spans="1:13" s="216" customFormat="1">
      <c r="B122" s="1232"/>
      <c r="L122" s="1215"/>
    </row>
    <row r="123" spans="1:13" s="216" customFormat="1">
      <c r="B123" s="1232"/>
      <c r="L123" s="1215"/>
    </row>
    <row r="124" spans="1:13" s="216" customFormat="1">
      <c r="B124" s="1232"/>
      <c r="L124" s="1215"/>
    </row>
    <row r="125" spans="1:13" s="216" customFormat="1">
      <c r="B125" s="1232"/>
      <c r="L125" s="1215"/>
    </row>
    <row r="126" spans="1:13" s="216" customFormat="1">
      <c r="B126" s="1232"/>
      <c r="L126" s="1215"/>
    </row>
    <row r="129" s="216" customFormat="1" ht="15" customHeight="1"/>
    <row r="130" s="216" customFormat="1"/>
  </sheetData>
  <sheetProtection password="CFDD" sheet="1" objects="1" scenarios="1"/>
  <mergeCells count="19">
    <mergeCell ref="A114:B114"/>
    <mergeCell ref="E114:G114"/>
    <mergeCell ref="A1:E1"/>
    <mergeCell ref="A3:J3"/>
    <mergeCell ref="A4:J4"/>
    <mergeCell ref="A7:A8"/>
    <mergeCell ref="B7:B8"/>
    <mergeCell ref="C7:D7"/>
    <mergeCell ref="E7:G7"/>
    <mergeCell ref="H7:H8"/>
    <mergeCell ref="I7:I8"/>
    <mergeCell ref="J7:J8"/>
    <mergeCell ref="A117:B117"/>
    <mergeCell ref="A116:B116"/>
    <mergeCell ref="E116:G116"/>
    <mergeCell ref="E119:G119"/>
    <mergeCell ref="E121:G121"/>
    <mergeCell ref="A119:B119"/>
    <mergeCell ref="A121:B121"/>
  </mergeCells>
  <phoneticPr fontId="0" type="noConversion"/>
  <dataValidations count="1">
    <dataValidation allowBlank="1" showErrorMessage="1" sqref="H93:H99 H11:I92 E10:I10 J10:J111 C10:D111 I93:I111 E106:H106 E107:G111 E11:G105"/>
  </dataValidations>
  <printOptions horizontalCentered="1" verticalCentered="1"/>
  <pageMargins left="0.47244094488188981" right="0.19685039370078741" top="0.23622047244094491" bottom="0.15748031496062992" header="0.51181102362204722" footer="0.11811023622047245"/>
  <pageSetup paperSize="9" scale="60" firstPageNumber="0" orientation="landscape" r:id="rId1"/>
  <headerFooter alignWithMargins="0">
    <oddFooter>&amp;C&amp;A&amp;RPagina &amp;P</oddFooter>
  </headerFooter>
  <rowBreaks count="3" manualBreakCount="3">
    <brk id="32" max="9" man="1"/>
    <brk id="54" max="9" man="1"/>
    <brk id="81"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5">
    <tabColor rgb="FFC00000"/>
  </sheetPr>
  <dimension ref="A1:K41"/>
  <sheetViews>
    <sheetView showZeros="0" workbookViewId="0">
      <selection activeCell="D23" sqref="D23"/>
    </sheetView>
  </sheetViews>
  <sheetFormatPr defaultColWidth="9.140625" defaultRowHeight="12.75"/>
  <cols>
    <col min="1" max="1" width="46.140625" style="214" customWidth="1"/>
    <col min="2" max="2" width="10.28515625" style="215" customWidth="1"/>
    <col min="3" max="5" width="17.7109375" style="214" customWidth="1"/>
    <col min="6" max="6" width="16.28515625" style="214" customWidth="1"/>
    <col min="7" max="8" width="17.7109375" style="214" customWidth="1"/>
    <col min="9" max="9" width="16" style="214" customWidth="1"/>
    <col min="10" max="10" width="17.7109375" style="214" customWidth="1"/>
    <col min="11" max="11" width="8.7109375" style="216" customWidth="1"/>
    <col min="12" max="16384" width="9.140625" style="214"/>
  </cols>
  <sheetData>
    <row r="1" spans="1:11" ht="15">
      <c r="A1" s="4094" t="str">
        <f>'ANEXA 1'!A1</f>
        <v>CASA  DE  ASIGURĂRI  DE  SĂNĂTATE MEHEDINTI</v>
      </c>
      <c r="B1" s="4094"/>
      <c r="C1" s="4094"/>
      <c r="D1" s="4094"/>
      <c r="E1" s="4094"/>
    </row>
    <row r="2" spans="1:11" s="3" customFormat="1">
      <c r="B2" s="217"/>
      <c r="K2" s="218"/>
    </row>
    <row r="3" spans="1:11" s="3" customFormat="1">
      <c r="A3" s="4104" t="s">
        <v>683</v>
      </c>
      <c r="B3" s="4104"/>
      <c r="C3" s="4104"/>
      <c r="D3" s="4104"/>
      <c r="E3" s="4104"/>
      <c r="F3" s="4104"/>
      <c r="G3" s="4104"/>
      <c r="H3" s="4104"/>
      <c r="I3" s="4104"/>
      <c r="J3" s="4104"/>
      <c r="K3" s="218"/>
    </row>
    <row r="4" spans="1:11" s="3" customFormat="1">
      <c r="A4" s="4104" t="str">
        <f>'ANEXA 1'!A12</f>
        <v>la  data  de  30  IUNIE  2023</v>
      </c>
      <c r="B4" s="4104"/>
      <c r="C4" s="4104"/>
      <c r="D4" s="4104"/>
      <c r="E4" s="4104"/>
      <c r="F4" s="4104"/>
      <c r="G4" s="4104"/>
      <c r="H4" s="4104"/>
      <c r="I4" s="4104"/>
      <c r="J4" s="4104"/>
      <c r="K4" s="220"/>
    </row>
    <row r="5" spans="1:11" s="3" customFormat="1">
      <c r="B5" s="217"/>
      <c r="K5" s="218"/>
    </row>
    <row r="6" spans="1:11" s="3" customFormat="1" ht="13.5" thickBot="1">
      <c r="A6" s="219" t="s">
        <v>684</v>
      </c>
      <c r="B6" s="217"/>
      <c r="G6" s="219"/>
      <c r="J6" s="217" t="s">
        <v>15</v>
      </c>
      <c r="K6" s="218"/>
    </row>
    <row r="7" spans="1:11" s="3" customFormat="1" ht="25.5" customHeight="1">
      <c r="A7" s="4105" t="s">
        <v>685</v>
      </c>
      <c r="B7" s="4107" t="s">
        <v>686</v>
      </c>
      <c r="C7" s="4107" t="s">
        <v>687</v>
      </c>
      <c r="D7" s="4107"/>
      <c r="E7" s="4107" t="s">
        <v>688</v>
      </c>
      <c r="F7" s="4107"/>
      <c r="G7" s="4107"/>
      <c r="H7" s="4109" t="s">
        <v>689</v>
      </c>
      <c r="I7" s="4107" t="s">
        <v>690</v>
      </c>
      <c r="J7" s="4110" t="s">
        <v>691</v>
      </c>
      <c r="K7" s="218"/>
    </row>
    <row r="8" spans="1:11" s="3" customFormat="1" ht="38.25" customHeight="1">
      <c r="A8" s="4106"/>
      <c r="B8" s="4108"/>
      <c r="C8" s="3038" t="str">
        <f>'ANEXA 5 '!C8</f>
        <v>anuale aprobate la finele perioadei de raportare</v>
      </c>
      <c r="D8" s="3038" t="str">
        <f>'ANEXA 5 '!D8</f>
        <v>trimestriale cumulate</v>
      </c>
      <c r="E8" s="3039" t="s">
        <v>2106</v>
      </c>
      <c r="F8" s="3040" t="s">
        <v>2107</v>
      </c>
      <c r="G8" s="3041" t="s">
        <v>692</v>
      </c>
      <c r="H8" s="4099"/>
      <c r="I8" s="4108"/>
      <c r="J8" s="4111"/>
      <c r="K8" s="218"/>
    </row>
    <row r="9" spans="1:11" s="3" customFormat="1">
      <c r="A9" s="3034" t="s">
        <v>92</v>
      </c>
      <c r="B9" s="3035" t="s">
        <v>93</v>
      </c>
      <c r="C9" s="3035">
        <v>1</v>
      </c>
      <c r="D9" s="3035">
        <v>2</v>
      </c>
      <c r="E9" s="3036" t="s">
        <v>693</v>
      </c>
      <c r="F9" s="3036">
        <v>4</v>
      </c>
      <c r="G9" s="3036">
        <v>5</v>
      </c>
      <c r="H9" s="3036">
        <v>6</v>
      </c>
      <c r="I9" s="3036">
        <v>7</v>
      </c>
      <c r="J9" s="3037" t="s">
        <v>694</v>
      </c>
      <c r="K9" s="218"/>
    </row>
    <row r="10" spans="1:11" s="222" customFormat="1" ht="19.5" customHeight="1">
      <c r="A10" s="3030" t="s">
        <v>695</v>
      </c>
      <c r="B10" s="3031" t="s">
        <v>696</v>
      </c>
      <c r="C10" s="2555">
        <f>C12+C15</f>
        <v>0</v>
      </c>
      <c r="D10" s="2555">
        <f>D12+D15</f>
        <v>0</v>
      </c>
      <c r="E10" s="3032">
        <f t="shared" ref="E10:I10" si="0">E12+E15</f>
        <v>0</v>
      </c>
      <c r="F10" s="3032">
        <f t="shared" si="0"/>
        <v>0</v>
      </c>
      <c r="G10" s="3032">
        <f t="shared" si="0"/>
        <v>0</v>
      </c>
      <c r="H10" s="3032">
        <f t="shared" si="0"/>
        <v>0</v>
      </c>
      <c r="I10" s="3032">
        <f t="shared" si="0"/>
        <v>0</v>
      </c>
      <c r="J10" s="3033">
        <f>J12+J15</f>
        <v>0</v>
      </c>
      <c r="K10" s="221"/>
    </row>
    <row r="11" spans="1:11" s="222" customFormat="1" ht="22.5" hidden="1" customHeight="1">
      <c r="A11" s="971" t="s">
        <v>697</v>
      </c>
      <c r="B11" s="962" t="s">
        <v>698</v>
      </c>
      <c r="C11" s="963">
        <f>C15</f>
        <v>0</v>
      </c>
      <c r="D11" s="963">
        <f t="shared" ref="D11:J11" si="1">D15</f>
        <v>0</v>
      </c>
      <c r="E11" s="963">
        <f t="shared" si="1"/>
        <v>0</v>
      </c>
      <c r="F11" s="963">
        <f t="shared" si="1"/>
        <v>0</v>
      </c>
      <c r="G11" s="963">
        <f t="shared" si="1"/>
        <v>0</v>
      </c>
      <c r="H11" s="963">
        <f t="shared" si="1"/>
        <v>0</v>
      </c>
      <c r="I11" s="963">
        <f t="shared" si="1"/>
        <v>0</v>
      </c>
      <c r="J11" s="972">
        <f t="shared" si="1"/>
        <v>0</v>
      </c>
      <c r="K11" s="221"/>
    </row>
    <row r="12" spans="1:11" s="222" customFormat="1" ht="24">
      <c r="A12" s="971" t="s">
        <v>2128</v>
      </c>
      <c r="B12" s="962">
        <v>4008</v>
      </c>
      <c r="C12" s="963">
        <f>C13</f>
        <v>0</v>
      </c>
      <c r="D12" s="963">
        <f>D13</f>
        <v>0</v>
      </c>
      <c r="E12" s="963">
        <f t="shared" ref="E12:I13" si="2">E13</f>
        <v>0</v>
      </c>
      <c r="F12" s="963">
        <f t="shared" si="2"/>
        <v>0</v>
      </c>
      <c r="G12" s="963">
        <f t="shared" si="2"/>
        <v>0</v>
      </c>
      <c r="H12" s="963">
        <f t="shared" si="2"/>
        <v>0</v>
      </c>
      <c r="I12" s="963">
        <f t="shared" si="2"/>
        <v>0</v>
      </c>
      <c r="J12" s="972">
        <f>J13</f>
        <v>0</v>
      </c>
      <c r="K12" s="221"/>
    </row>
    <row r="13" spans="1:11" s="222" customFormat="1" ht="24">
      <c r="A13" s="1665" t="s">
        <v>2129</v>
      </c>
      <c r="B13" s="962" t="s">
        <v>2130</v>
      </c>
      <c r="C13" s="963">
        <f>C14</f>
        <v>0</v>
      </c>
      <c r="D13" s="963">
        <f>D14</f>
        <v>0</v>
      </c>
      <c r="E13" s="963">
        <f t="shared" si="2"/>
        <v>0</v>
      </c>
      <c r="F13" s="963">
        <f t="shared" si="2"/>
        <v>0</v>
      </c>
      <c r="G13" s="963">
        <f t="shared" si="2"/>
        <v>0</v>
      </c>
      <c r="H13" s="963">
        <f t="shared" si="2"/>
        <v>0</v>
      </c>
      <c r="I13" s="963">
        <f t="shared" si="2"/>
        <v>0</v>
      </c>
      <c r="J13" s="972">
        <f>J14</f>
        <v>0</v>
      </c>
      <c r="K13" s="221"/>
    </row>
    <row r="14" spans="1:11" s="222" customFormat="1" ht="22.5" customHeight="1">
      <c r="A14" s="1666" t="s">
        <v>2131</v>
      </c>
      <c r="B14" s="1667" t="s">
        <v>2132</v>
      </c>
      <c r="C14" s="969"/>
      <c r="D14" s="969"/>
      <c r="E14" s="1230">
        <f t="shared" ref="E14:E20" si="3">F14+G14</f>
        <v>0</v>
      </c>
      <c r="F14" s="1230"/>
      <c r="G14" s="1230"/>
      <c r="H14" s="1230"/>
      <c r="I14" s="1225"/>
      <c r="J14" s="1231">
        <f>E14-H14</f>
        <v>0</v>
      </c>
      <c r="K14" s="221"/>
    </row>
    <row r="15" spans="1:11" s="222" customFormat="1" ht="44.25" customHeight="1">
      <c r="A15" s="973" t="s">
        <v>81</v>
      </c>
      <c r="B15" s="964" t="s">
        <v>82</v>
      </c>
      <c r="C15" s="965">
        <f>C16+C20</f>
        <v>0</v>
      </c>
      <c r="D15" s="965">
        <f>D16+D20</f>
        <v>0</v>
      </c>
      <c r="E15" s="965">
        <f t="shared" ref="E15:J15" si="4">E16+E20</f>
        <v>0</v>
      </c>
      <c r="F15" s="966">
        <f t="shared" si="4"/>
        <v>0</v>
      </c>
      <c r="G15" s="966">
        <f t="shared" si="4"/>
        <v>0</v>
      </c>
      <c r="H15" s="965">
        <f t="shared" si="4"/>
        <v>0</v>
      </c>
      <c r="I15" s="965">
        <f t="shared" si="4"/>
        <v>0</v>
      </c>
      <c r="J15" s="974">
        <f t="shared" si="4"/>
        <v>0</v>
      </c>
      <c r="K15" s="228"/>
    </row>
    <row r="16" spans="1:11" s="222" customFormat="1" ht="25.5" customHeight="1">
      <c r="A16" s="973" t="s">
        <v>83</v>
      </c>
      <c r="B16" s="964" t="s">
        <v>801</v>
      </c>
      <c r="C16" s="965">
        <f>C17+C18</f>
        <v>0</v>
      </c>
      <c r="D16" s="965">
        <f>D17+D18</f>
        <v>0</v>
      </c>
      <c r="E16" s="965">
        <f t="shared" si="3"/>
        <v>0</v>
      </c>
      <c r="F16" s="966">
        <f>F17+F18+F23</f>
        <v>0</v>
      </c>
      <c r="G16" s="966">
        <f>G17+G18+G19</f>
        <v>0</v>
      </c>
      <c r="H16" s="966">
        <f>H17+H18+H19</f>
        <v>0</v>
      </c>
      <c r="I16" s="966">
        <f>I17+I18+I23</f>
        <v>0</v>
      </c>
      <c r="J16" s="974">
        <f>ROUND(E16-H16-I16,1)</f>
        <v>0</v>
      </c>
      <c r="K16" s="228"/>
    </row>
    <row r="17" spans="1:11" s="222" customFormat="1" ht="19.5" customHeight="1">
      <c r="A17" s="975" t="s">
        <v>73</v>
      </c>
      <c r="B17" s="967" t="s">
        <v>802</v>
      </c>
      <c r="C17" s="968"/>
      <c r="D17" s="968"/>
      <c r="E17" s="970">
        <f t="shared" si="3"/>
        <v>0</v>
      </c>
      <c r="F17" s="969"/>
      <c r="G17" s="968"/>
      <c r="H17" s="970"/>
      <c r="I17" s="970"/>
      <c r="J17" s="976">
        <f>ROUND(E17-H17-I17,1)</f>
        <v>0</v>
      </c>
      <c r="K17" s="228"/>
    </row>
    <row r="18" spans="1:11" s="222" customFormat="1" ht="19.5" customHeight="1">
      <c r="A18" s="975" t="s">
        <v>75</v>
      </c>
      <c r="B18" s="967" t="s">
        <v>803</v>
      </c>
      <c r="C18" s="968"/>
      <c r="D18" s="968"/>
      <c r="E18" s="970">
        <f t="shared" si="3"/>
        <v>0</v>
      </c>
      <c r="F18" s="969"/>
      <c r="G18" s="968"/>
      <c r="H18" s="970"/>
      <c r="I18" s="970"/>
      <c r="J18" s="976">
        <f>ROUND(E18-H18-I18,1)</f>
        <v>0</v>
      </c>
      <c r="K18" s="228"/>
    </row>
    <row r="19" spans="1:11" s="222" customFormat="1" ht="19.5" customHeight="1">
      <c r="A19" s="2977" t="s">
        <v>1658</v>
      </c>
      <c r="B19" s="2978" t="s">
        <v>2555</v>
      </c>
      <c r="C19" s="2979"/>
      <c r="D19" s="2979"/>
      <c r="E19" s="2980">
        <f t="shared" si="3"/>
        <v>0</v>
      </c>
      <c r="F19" s="2981"/>
      <c r="G19" s="2979"/>
      <c r="H19" s="2980">
        <f>'VENITURI (2)'!E18</f>
        <v>0</v>
      </c>
      <c r="I19" s="2980"/>
      <c r="J19" s="2982">
        <v>0</v>
      </c>
      <c r="K19" s="228"/>
    </row>
    <row r="20" spans="1:11" s="222" customFormat="1" ht="19.5" customHeight="1">
      <c r="A20" s="2949" t="s">
        <v>2549</v>
      </c>
      <c r="B20" s="2983" t="s">
        <v>2550</v>
      </c>
      <c r="C20" s="2984">
        <f>C21+C22+C23</f>
        <v>0</v>
      </c>
      <c r="D20" s="2984">
        <f t="shared" ref="D20:J20" si="5">D21+D22+D23</f>
        <v>0</v>
      </c>
      <c r="E20" s="2985">
        <f t="shared" si="3"/>
        <v>0</v>
      </c>
      <c r="F20" s="2986">
        <f t="shared" si="5"/>
        <v>0</v>
      </c>
      <c r="G20" s="2984">
        <f t="shared" si="5"/>
        <v>0</v>
      </c>
      <c r="H20" s="2985">
        <f t="shared" si="5"/>
        <v>0</v>
      </c>
      <c r="I20" s="2985">
        <f t="shared" si="5"/>
        <v>0</v>
      </c>
      <c r="J20" s="2987">
        <f t="shared" si="5"/>
        <v>0</v>
      </c>
      <c r="K20" s="228"/>
    </row>
    <row r="21" spans="1:11" s="222" customFormat="1" ht="19.5" customHeight="1">
      <c r="A21" s="2977" t="s">
        <v>73</v>
      </c>
      <c r="B21" s="2978" t="s">
        <v>2552</v>
      </c>
      <c r="C21" s="2979"/>
      <c r="D21" s="2979"/>
      <c r="E21" s="2980"/>
      <c r="F21" s="2981"/>
      <c r="G21" s="2979"/>
      <c r="H21" s="2980"/>
      <c r="I21" s="2980"/>
      <c r="J21" s="2982"/>
      <c r="K21" s="228"/>
    </row>
    <row r="22" spans="1:11" s="222" customFormat="1" ht="19.5" customHeight="1">
      <c r="A22" s="2977" t="s">
        <v>75</v>
      </c>
      <c r="B22" s="2978" t="s">
        <v>2553</v>
      </c>
      <c r="C22" s="2979"/>
      <c r="D22" s="2979"/>
      <c r="E22" s="2980"/>
      <c r="F22" s="2981"/>
      <c r="G22" s="2979"/>
      <c r="H22" s="2980"/>
      <c r="I22" s="2980"/>
      <c r="J22" s="2982"/>
      <c r="K22" s="228"/>
    </row>
    <row r="23" spans="1:11" s="222" customFormat="1" ht="19.5" customHeight="1" thickBot="1">
      <c r="A23" s="2988" t="s">
        <v>1658</v>
      </c>
      <c r="B23" s="2989" t="s">
        <v>2554</v>
      </c>
      <c r="C23" s="2990"/>
      <c r="D23" s="2990"/>
      <c r="E23" s="2991">
        <f>F23+G23</f>
        <v>0</v>
      </c>
      <c r="F23" s="2992"/>
      <c r="G23" s="2990"/>
      <c r="H23" s="2991">
        <f>'VENITURI (2)'!C20</f>
        <v>0</v>
      </c>
      <c r="I23" s="2991"/>
      <c r="J23" s="2993">
        <f>ROUND(E23-H23-I23,1)</f>
        <v>0</v>
      </c>
      <c r="K23" s="228"/>
    </row>
    <row r="24" spans="1:11" s="222" customFormat="1" ht="15.75">
      <c r="A24" s="231"/>
      <c r="B24" s="232"/>
      <c r="C24" s="3"/>
      <c r="D24" s="3"/>
      <c r="E24" s="3"/>
      <c r="F24" s="233"/>
      <c r="H24" s="3"/>
      <c r="K24" s="228"/>
    </row>
    <row r="25" spans="1:11" s="222" customFormat="1" ht="15.75">
      <c r="A25" s="234"/>
      <c r="B25" s="234"/>
      <c r="C25" s="235"/>
      <c r="E25" s="1870"/>
      <c r="F25" s="1870"/>
      <c r="G25" s="235"/>
      <c r="H25" s="236"/>
      <c r="I25" s="236"/>
      <c r="J25" s="236"/>
      <c r="K25" s="233"/>
    </row>
    <row r="26" spans="1:11" s="222" customFormat="1" ht="15.75" customHeight="1">
      <c r="A26" s="4102" t="str">
        <f>'ANEXA 1'!B94</f>
        <v>DIRECTOR  GENERAL,</v>
      </c>
      <c r="B26" s="4102"/>
      <c r="C26" s="3"/>
      <c r="E26" s="4103" t="str">
        <f>'ANEXA 1'!D94</f>
        <v>DIRECTOR  EXECUTIV  ECONOMIC,</v>
      </c>
      <c r="F26" s="4103"/>
      <c r="G26" s="4103"/>
      <c r="H26" s="225"/>
      <c r="I26" s="1054"/>
      <c r="J26" s="225"/>
      <c r="K26" s="228"/>
    </row>
    <row r="27" spans="1:11" ht="15">
      <c r="E27" s="1871"/>
      <c r="F27" s="1871"/>
      <c r="G27" s="1871"/>
      <c r="I27" s="1054"/>
    </row>
    <row r="28" spans="1:11" ht="21" customHeight="1">
      <c r="A28" s="4113" t="str">
        <f>'ANEXA 1'!B96</f>
        <v>EC.ALBU DRINA</v>
      </c>
      <c r="B28" s="4113"/>
      <c r="E28" s="4114" t="str">
        <f>'ANEXA 1'!D96</f>
        <v>EC.BIRCU FLORINA</v>
      </c>
      <c r="F28" s="4114"/>
      <c r="G28" s="4114"/>
      <c r="I28" s="1054"/>
    </row>
    <row r="29" spans="1:11" ht="14.25">
      <c r="A29" s="4112">
        <f>'ANEXA 1'!B97</f>
        <v>0</v>
      </c>
      <c r="B29" s="4112"/>
      <c r="I29" s="1059"/>
    </row>
    <row r="32" spans="1:11" ht="17.25" customHeight="1">
      <c r="A32" s="4116">
        <f>+'ANEXA 2'!B56</f>
        <v>0</v>
      </c>
      <c r="B32" s="4116"/>
      <c r="E32" s="4115">
        <f>'ANEXA 1'!D99</f>
        <v>0</v>
      </c>
      <c r="F32" s="4115"/>
      <c r="G32" s="4115"/>
    </row>
    <row r="33" spans="1:7" ht="15">
      <c r="A33" s="1597"/>
      <c r="B33" s="1562"/>
      <c r="E33" s="1596"/>
      <c r="F33" s="1596"/>
      <c r="G33" s="1596"/>
    </row>
    <row r="34" spans="1:7" ht="15">
      <c r="A34" s="4116">
        <f>+'ANEXA 2'!B58</f>
        <v>0</v>
      </c>
      <c r="B34" s="4116"/>
      <c r="E34" s="4115">
        <f>'ANEXA 1'!D101</f>
        <v>0</v>
      </c>
      <c r="F34" s="4115"/>
      <c r="G34" s="4115"/>
    </row>
    <row r="41" spans="1:7" ht="15" customHeight="1"/>
  </sheetData>
  <sheetProtection password="CFDD" sheet="1" objects="1" scenarios="1"/>
  <mergeCells count="19">
    <mergeCell ref="A29:B29"/>
    <mergeCell ref="A28:B28"/>
    <mergeCell ref="E28:G28"/>
    <mergeCell ref="E32:G32"/>
    <mergeCell ref="E34:G34"/>
    <mergeCell ref="A32:B32"/>
    <mergeCell ref="A34:B34"/>
    <mergeCell ref="A26:B26"/>
    <mergeCell ref="E26:G26"/>
    <mergeCell ref="A1:E1"/>
    <mergeCell ref="A3:J3"/>
    <mergeCell ref="A4:J4"/>
    <mergeCell ref="A7:A8"/>
    <mergeCell ref="B7:B8"/>
    <mergeCell ref="C7:D7"/>
    <mergeCell ref="E7:G7"/>
    <mergeCell ref="H7:H8"/>
    <mergeCell ref="I7:I8"/>
    <mergeCell ref="J7:J8"/>
  </mergeCells>
  <dataValidations count="1">
    <dataValidation allowBlank="1" showErrorMessage="1" sqref="C10:J22 H23"/>
  </dataValidations>
  <printOptions horizontalCentered="1"/>
  <pageMargins left="0.47244094488188981" right="0.19685039370078741" top="0.23622047244094491" bottom="0.15748031496062992" header="0.51181102362204722" footer="0.11811023622047245"/>
  <pageSetup paperSize="9" scale="68" firstPageNumber="0" orientation="landscape" horizontalDpi="300" verticalDpi="300" r:id="rId1"/>
  <headerFooter alignWithMargins="0">
    <oddFooter>&amp;C&amp;A&amp;RPagina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0">
    <tabColor rgb="FFF2DCDB"/>
  </sheetPr>
  <dimension ref="A1:O51"/>
  <sheetViews>
    <sheetView showZeros="0" topLeftCell="B1" workbookViewId="0">
      <pane xSplit="2" ySplit="7" topLeftCell="D8" activePane="bottomRight" state="frozen"/>
      <selection sqref="A1:E1"/>
      <selection pane="topRight" sqref="A1:E1"/>
      <selection pane="bottomLeft" sqref="A1:E1"/>
      <selection pane="bottomRight" activeCell="G37" sqref="G37"/>
    </sheetView>
  </sheetViews>
  <sheetFormatPr defaultColWidth="9.140625" defaultRowHeight="15"/>
  <cols>
    <col min="1" max="1" width="4" style="7" hidden="1" customWidth="1"/>
    <col min="2" max="2" width="34.85546875" style="237" customWidth="1"/>
    <col min="3" max="3" width="8.140625" style="238" customWidth="1"/>
    <col min="4" max="5" width="15.85546875" style="237" customWidth="1"/>
    <col min="6" max="6" width="16.42578125" style="239" customWidth="1"/>
    <col min="7" max="7" width="16.5703125" style="7" customWidth="1"/>
    <col min="8" max="8" width="16.85546875" style="239" customWidth="1"/>
    <col min="9" max="9" width="16" style="239" customWidth="1"/>
    <col min="10" max="10" width="16.7109375" style="239" customWidth="1"/>
    <col min="11" max="11" width="16.5703125" style="239" customWidth="1"/>
    <col min="12" max="12" width="15.5703125" style="7" customWidth="1"/>
    <col min="13" max="14" width="10.5703125" style="240" customWidth="1"/>
    <col min="15" max="15" width="10.7109375" style="240" customWidth="1"/>
    <col min="16" max="16384" width="9.140625" style="7"/>
  </cols>
  <sheetData>
    <row r="1" spans="2:15">
      <c r="B1" s="3989" t="str">
        <f>'ANEXA 1'!A1</f>
        <v>CASA  DE  ASIGURĂRI  DE  SĂNĂTATE MEHEDINTI</v>
      </c>
      <c r="C1" s="3989"/>
      <c r="D1" s="3989"/>
      <c r="E1" s="3989"/>
      <c r="F1" s="3989"/>
      <c r="G1" s="3989"/>
      <c r="H1" s="3989"/>
      <c r="L1" s="8" t="s">
        <v>804</v>
      </c>
    </row>
    <row r="2" spans="2:15">
      <c r="B2" s="4120" t="s">
        <v>805</v>
      </c>
      <c r="C2" s="4120"/>
      <c r="D2" s="4120"/>
      <c r="E2" s="4120"/>
      <c r="F2" s="4120"/>
      <c r="G2" s="4120"/>
      <c r="H2" s="4120"/>
      <c r="I2" s="4120"/>
      <c r="J2" s="4120"/>
      <c r="K2" s="4120"/>
      <c r="L2" s="4120"/>
    </row>
    <row r="3" spans="2:15">
      <c r="B3" s="4121" t="str">
        <f>'ANEXA 1'!A12</f>
        <v>la  data  de  30  IUNIE  2023</v>
      </c>
      <c r="C3" s="4121"/>
      <c r="D3" s="4121"/>
      <c r="E3" s="4121"/>
      <c r="F3" s="4121"/>
      <c r="G3" s="4121"/>
      <c r="H3" s="4121"/>
      <c r="I3" s="4121"/>
      <c r="J3" s="4121"/>
      <c r="K3" s="4121"/>
      <c r="L3" s="4121"/>
    </row>
    <row r="4" spans="2:15">
      <c r="B4" s="241" t="s">
        <v>806</v>
      </c>
      <c r="K4" s="248"/>
      <c r="L4" s="8" t="s">
        <v>271</v>
      </c>
    </row>
    <row r="5" spans="2:15" ht="15" customHeight="1">
      <c r="B5" s="4122" t="s">
        <v>807</v>
      </c>
      <c r="C5" s="4124" t="s">
        <v>808</v>
      </c>
      <c r="D5" s="4131" t="s">
        <v>809</v>
      </c>
      <c r="E5" s="4131"/>
      <c r="F5" s="4126" t="s">
        <v>810</v>
      </c>
      <c r="G5" s="4126"/>
      <c r="H5" s="4127" t="s">
        <v>811</v>
      </c>
      <c r="I5" s="4129" t="s">
        <v>812</v>
      </c>
      <c r="J5" s="4129" t="s">
        <v>813</v>
      </c>
      <c r="K5" s="4129" t="s">
        <v>814</v>
      </c>
      <c r="L5" s="4132" t="s">
        <v>815</v>
      </c>
    </row>
    <row r="6" spans="2:15" ht="62.25" customHeight="1">
      <c r="B6" s="4123"/>
      <c r="C6" s="4125"/>
      <c r="D6" s="3040" t="s">
        <v>2562</v>
      </c>
      <c r="E6" s="3040" t="s">
        <v>2563</v>
      </c>
      <c r="F6" s="3040" t="s">
        <v>2562</v>
      </c>
      <c r="G6" s="3040" t="s">
        <v>2563</v>
      </c>
      <c r="H6" s="4128"/>
      <c r="I6" s="4130"/>
      <c r="J6" s="4130"/>
      <c r="K6" s="4130"/>
      <c r="L6" s="4133"/>
    </row>
    <row r="7" spans="2:15" ht="11.25" customHeight="1">
      <c r="B7" s="3652" t="s">
        <v>92</v>
      </c>
      <c r="C7" s="3653" t="s">
        <v>93</v>
      </c>
      <c r="D7" s="3654">
        <v>1</v>
      </c>
      <c r="E7" s="3654">
        <v>2</v>
      </c>
      <c r="F7" s="3655">
        <v>3</v>
      </c>
      <c r="G7" s="3656">
        <v>4</v>
      </c>
      <c r="H7" s="3655">
        <v>5</v>
      </c>
      <c r="I7" s="3832">
        <v>6</v>
      </c>
      <c r="J7" s="3832">
        <v>7</v>
      </c>
      <c r="K7" s="3833" t="s">
        <v>2057</v>
      </c>
      <c r="L7" s="3657">
        <v>9</v>
      </c>
    </row>
    <row r="8" spans="2:15" s="243" customFormat="1" ht="16.5" customHeight="1">
      <c r="B8" s="3650" t="s">
        <v>816</v>
      </c>
      <c r="C8" s="3651" t="s">
        <v>817</v>
      </c>
      <c r="D8" s="2717">
        <f>'CONT EXECUTIE  '!C20</f>
        <v>437159530</v>
      </c>
      <c r="E8" s="2717">
        <f>'CONT EXECUTIE  '!D20</f>
        <v>279683140</v>
      </c>
      <c r="F8" s="2717">
        <f>'CONT EXECUTIE  '!E20</f>
        <v>407858970</v>
      </c>
      <c r="G8" s="2717">
        <f>'CONT EXECUTIE  '!F20</f>
        <v>247433070</v>
      </c>
      <c r="H8" s="2717">
        <f>'CONT EXECUTIE  '!G20</f>
        <v>350425326</v>
      </c>
      <c r="I8" s="2717">
        <f>'CONT EXECUTIE  '!H20</f>
        <v>438017959</v>
      </c>
      <c r="J8" s="2717">
        <f>'CONT EXECUTIE  '!K20</f>
        <v>239735155</v>
      </c>
      <c r="K8" s="2717">
        <f>I8-J8</f>
        <v>198282804</v>
      </c>
      <c r="L8" s="2718">
        <f>'CONT EXECUTIE  '!M20</f>
        <v>206839089</v>
      </c>
      <c r="M8" s="244"/>
      <c r="N8" s="244"/>
      <c r="O8" s="244"/>
    </row>
    <row r="9" spans="2:15" s="243" customFormat="1" ht="25.5" customHeight="1">
      <c r="B9" s="3638" t="s">
        <v>818</v>
      </c>
      <c r="C9" s="3634" t="s">
        <v>819</v>
      </c>
      <c r="D9" s="3113">
        <f>'CONT EXECUTIE  '!C31</f>
        <v>437159530</v>
      </c>
      <c r="E9" s="3113">
        <f>'CONT EXECUTIE  '!D31</f>
        <v>279683140</v>
      </c>
      <c r="F9" s="3113">
        <f>'CONT EXECUTIE  '!E31</f>
        <v>407858970</v>
      </c>
      <c r="G9" s="3113">
        <f>'CONT EXECUTIE  '!F31</f>
        <v>247433070</v>
      </c>
      <c r="H9" s="3113">
        <f>'CONT EXECUTIE  '!G31</f>
        <v>350425326</v>
      </c>
      <c r="I9" s="3113">
        <f>'CONT EXECUTIE  '!H31</f>
        <v>438017959</v>
      </c>
      <c r="J9" s="3113">
        <f>'CONT EXECUTIE  '!K31</f>
        <v>239735155</v>
      </c>
      <c r="K9" s="3113">
        <f t="shared" ref="K9:K34" si="0">I9-J9</f>
        <v>198282804</v>
      </c>
      <c r="L9" s="3114">
        <f>'CONT EXECUTIE  '!M31</f>
        <v>206839089</v>
      </c>
      <c r="M9" s="244"/>
      <c r="N9" s="244"/>
      <c r="O9" s="244"/>
    </row>
    <row r="10" spans="2:15" s="243" customFormat="1" ht="16.5" customHeight="1">
      <c r="B10" s="3638" t="s">
        <v>820</v>
      </c>
      <c r="C10" s="3634" t="s">
        <v>821</v>
      </c>
      <c r="D10" s="3113">
        <f>'CONT EXECUTIE  '!C33</f>
        <v>422495530</v>
      </c>
      <c r="E10" s="3113">
        <f>'CONT EXECUTIE  '!D33</f>
        <v>270100140</v>
      </c>
      <c r="F10" s="3113">
        <f>'CONT EXECUTIE  '!E33</f>
        <v>393194970</v>
      </c>
      <c r="G10" s="3113">
        <f>'CONT EXECUTIE  '!F33</f>
        <v>237850070</v>
      </c>
      <c r="H10" s="3113">
        <f>'CONT EXECUTIE  '!G33</f>
        <v>340885349</v>
      </c>
      <c r="I10" s="3113">
        <f>'CONT EXECUTIE  '!H33</f>
        <v>428477982</v>
      </c>
      <c r="J10" s="3113">
        <f>'CONT EXECUTIE  '!K33</f>
        <v>230195178</v>
      </c>
      <c r="K10" s="3113">
        <f t="shared" si="0"/>
        <v>198282804</v>
      </c>
      <c r="L10" s="3114">
        <f>'CONT EXECUTIE  '!M33</f>
        <v>197258578</v>
      </c>
      <c r="M10" s="244"/>
      <c r="N10" s="244"/>
      <c r="O10" s="244"/>
    </row>
    <row r="11" spans="2:15" s="243" customFormat="1" ht="24" customHeight="1">
      <c r="B11" s="3638" t="s">
        <v>822</v>
      </c>
      <c r="C11" s="3634" t="s">
        <v>823</v>
      </c>
      <c r="D11" s="3113">
        <f>'CONT EXECUTIE  '!C130</f>
        <v>0</v>
      </c>
      <c r="E11" s="3113">
        <f>'CONT EXECUTIE  '!D130</f>
        <v>0</v>
      </c>
      <c r="F11" s="3113">
        <f>'CONT EXECUTIE  '!E130</f>
        <v>0</v>
      </c>
      <c r="G11" s="3113">
        <f>'CONT EXECUTIE  '!F130</f>
        <v>0</v>
      </c>
      <c r="H11" s="3113">
        <f>'CONT EXECUTIE  '!G130</f>
        <v>0</v>
      </c>
      <c r="I11" s="3113">
        <f>'CONT EXECUTIE  '!H130</f>
        <v>0</v>
      </c>
      <c r="J11" s="3113">
        <f>'CONT EXECUTIE  '!K130</f>
        <v>0</v>
      </c>
      <c r="K11" s="3113">
        <f t="shared" si="0"/>
        <v>0</v>
      </c>
      <c r="L11" s="3114">
        <f>'CONT EXECUTIE  '!M130</f>
        <v>0</v>
      </c>
      <c r="M11" s="244"/>
      <c r="N11" s="244"/>
      <c r="O11" s="244"/>
    </row>
    <row r="12" spans="2:15" s="243" customFormat="1" ht="29.25" customHeight="1">
      <c r="B12" s="3638" t="s">
        <v>824</v>
      </c>
      <c r="C12" s="3634" t="s">
        <v>825</v>
      </c>
      <c r="D12" s="3113">
        <f>'CONT EXECUTIE  '!C131</f>
        <v>117913140</v>
      </c>
      <c r="E12" s="3113">
        <f>'CONT EXECUTIE  '!D131</f>
        <v>70311230</v>
      </c>
      <c r="F12" s="3113">
        <f>'CONT EXECUTIE  '!E131</f>
        <v>117913140</v>
      </c>
      <c r="G12" s="3113">
        <f>'CONT EXECUTIE  '!F131</f>
        <v>70311230</v>
      </c>
      <c r="H12" s="3113">
        <f>'CONT EXECUTIE  '!G131</f>
        <v>65723295</v>
      </c>
      <c r="I12" s="3113">
        <f>'CONT EXECUTIE  '!H131</f>
        <v>65723295</v>
      </c>
      <c r="J12" s="3113">
        <f>'CONT EXECUTIE  '!K131</f>
        <v>63019347</v>
      </c>
      <c r="K12" s="3113">
        <f t="shared" si="0"/>
        <v>2703948</v>
      </c>
      <c r="L12" s="3114">
        <f>'CONT EXECUTIE  '!M131</f>
        <v>63090311</v>
      </c>
      <c r="M12" s="244"/>
      <c r="N12" s="244"/>
      <c r="O12" s="244"/>
    </row>
    <row r="13" spans="2:15" s="243" customFormat="1" ht="38.25">
      <c r="B13" s="3638" t="s">
        <v>826</v>
      </c>
      <c r="C13" s="3634" t="s">
        <v>827</v>
      </c>
      <c r="D13" s="3113">
        <f>'CONT EXECUTIE  '!C137</f>
        <v>106660850</v>
      </c>
      <c r="E13" s="3113">
        <f>'CONT EXECUTIE  '!D137</f>
        <v>83845370</v>
      </c>
      <c r="F13" s="3113">
        <f>'CONT EXECUTIE  '!E137</f>
        <v>108230980</v>
      </c>
      <c r="G13" s="3113">
        <f>'CONT EXECUTIE  '!F137</f>
        <v>82700720</v>
      </c>
      <c r="H13" s="3113">
        <f>'CONT EXECUTIE  '!G137</f>
        <v>108223330</v>
      </c>
      <c r="I13" s="3113">
        <f>'CONT EXECUTIE  '!H137</f>
        <v>155627017</v>
      </c>
      <c r="J13" s="3113">
        <f>'CONT EXECUTIE  '!K137</f>
        <v>82664626</v>
      </c>
      <c r="K13" s="3113">
        <f t="shared" si="0"/>
        <v>72962391</v>
      </c>
      <c r="L13" s="3114">
        <f>'CONT EXECUTIE  '!M137</f>
        <v>63467368</v>
      </c>
      <c r="M13" s="244"/>
      <c r="N13" s="244"/>
      <c r="O13" s="244"/>
    </row>
    <row r="14" spans="2:15" s="245" customFormat="1" ht="25.5">
      <c r="B14" s="3639" t="s">
        <v>828</v>
      </c>
      <c r="C14" s="3635" t="s">
        <v>829</v>
      </c>
      <c r="D14" s="3058">
        <f>'CONT EXECUTIE  '!C138</f>
        <v>53312170</v>
      </c>
      <c r="E14" s="3058">
        <f>'CONT EXECUTIE  '!D138</f>
        <v>41849340</v>
      </c>
      <c r="F14" s="3058">
        <f>'CONT EXECUTIE  '!E138</f>
        <v>53985420</v>
      </c>
      <c r="G14" s="3058">
        <f>'CONT EXECUTIE  '!F138</f>
        <v>38279420</v>
      </c>
      <c r="H14" s="3058">
        <f>'CONT EXECUTIE  '!G138</f>
        <v>53977770</v>
      </c>
      <c r="I14" s="3058">
        <f>'CONT EXECUTIE  '!H138</f>
        <v>80951194</v>
      </c>
      <c r="J14" s="3058">
        <f>'CONT EXECUTIE  '!K138</f>
        <v>38247510</v>
      </c>
      <c r="K14" s="3058">
        <f t="shared" si="0"/>
        <v>42703684</v>
      </c>
      <c r="L14" s="3126">
        <f>'CONT EXECUTIE  '!M138</f>
        <v>30388012</v>
      </c>
      <c r="M14" s="244"/>
      <c r="N14" s="244"/>
      <c r="O14" s="244"/>
    </row>
    <row r="15" spans="2:15" s="245" customFormat="1" ht="38.25">
      <c r="B15" s="3639" t="s">
        <v>830</v>
      </c>
      <c r="C15" s="3635" t="s">
        <v>831</v>
      </c>
      <c r="D15" s="3058">
        <f>'CONT EXECUTIE  '!C153</f>
        <v>33596160</v>
      </c>
      <c r="E15" s="3058">
        <f>'CONT EXECUTIE  '!D153</f>
        <v>28200210</v>
      </c>
      <c r="F15" s="3058">
        <f>'CONT EXECUTIE  '!E153</f>
        <v>34403650</v>
      </c>
      <c r="G15" s="3058">
        <f>'CONT EXECUTIE  '!F153</f>
        <v>30740430</v>
      </c>
      <c r="H15" s="3058">
        <f>'CONT EXECUTIE  '!G153</f>
        <v>34403650</v>
      </c>
      <c r="I15" s="3058">
        <f>'CONT EXECUTIE  '!H153</f>
        <v>51960695</v>
      </c>
      <c r="J15" s="3058">
        <f>'CONT EXECUTIE  '!K153</f>
        <v>30736381</v>
      </c>
      <c r="K15" s="3058">
        <f t="shared" si="0"/>
        <v>21224314</v>
      </c>
      <c r="L15" s="3126">
        <f>'CONT EXECUTIE  '!M153</f>
        <v>21198035</v>
      </c>
      <c r="M15" s="244"/>
      <c r="N15" s="244"/>
      <c r="O15" s="244"/>
    </row>
    <row r="16" spans="2:15" s="245" customFormat="1" ht="25.5">
      <c r="B16" s="3639" t="s">
        <v>832</v>
      </c>
      <c r="C16" s="3635" t="s">
        <v>833</v>
      </c>
      <c r="D16" s="3058">
        <f>'CONT EXECUTIE  '!C190</f>
        <v>1362660</v>
      </c>
      <c r="E16" s="3058">
        <f>'CONT EXECUTIE  '!D190</f>
        <v>982820</v>
      </c>
      <c r="F16" s="3058">
        <f>'CONT EXECUTIE  '!E190</f>
        <v>1320180</v>
      </c>
      <c r="G16" s="3058">
        <f>'CONT EXECUTIE  '!F190</f>
        <v>1141870</v>
      </c>
      <c r="H16" s="3058">
        <f>'CONT EXECUTIE  '!G190</f>
        <v>1320180</v>
      </c>
      <c r="I16" s="3058">
        <f>'CONT EXECUTIE  '!H190</f>
        <v>2038538</v>
      </c>
      <c r="J16" s="3058">
        <f>'CONT EXECUTIE  '!K190</f>
        <v>1141735</v>
      </c>
      <c r="K16" s="3058">
        <f t="shared" si="0"/>
        <v>896803</v>
      </c>
      <c r="L16" s="3126">
        <f>'CONT EXECUTIE  '!M190</f>
        <v>799974</v>
      </c>
      <c r="M16" s="244"/>
      <c r="N16" s="244"/>
      <c r="O16" s="244"/>
    </row>
    <row r="17" spans="2:15" s="245" customFormat="1" ht="25.5">
      <c r="B17" s="3639" t="s">
        <v>834</v>
      </c>
      <c r="C17" s="3635" t="s">
        <v>835</v>
      </c>
      <c r="D17" s="3058">
        <f>'CONT EXECUTIE  '!C220</f>
        <v>14789860</v>
      </c>
      <c r="E17" s="3058">
        <f>'CONT EXECUTIE  '!D220</f>
        <v>11000000</v>
      </c>
      <c r="F17" s="3058">
        <f>'CONT EXECUTIE  '!E220</f>
        <v>14805730</v>
      </c>
      <c r="G17" s="3058">
        <f>'CONT EXECUTIE  '!F220</f>
        <v>10721000</v>
      </c>
      <c r="H17" s="3058">
        <f>'CONT EXECUTIE  '!G220</f>
        <v>14805730</v>
      </c>
      <c r="I17" s="3058">
        <f>'CONT EXECUTIE  '!H220</f>
        <v>16708951</v>
      </c>
      <c r="J17" s="3058">
        <f>'CONT EXECUTIE  '!K220</f>
        <v>10721000</v>
      </c>
      <c r="K17" s="3058">
        <f t="shared" si="0"/>
        <v>5987951</v>
      </c>
      <c r="L17" s="3126">
        <f>'CONT EXECUTIE  '!M220</f>
        <v>9481618</v>
      </c>
      <c r="M17" s="244"/>
      <c r="N17" s="244"/>
      <c r="O17" s="244"/>
    </row>
    <row r="18" spans="2:15" s="245" customFormat="1" ht="25.5" customHeight="1">
      <c r="B18" s="3639" t="s">
        <v>836</v>
      </c>
      <c r="C18" s="3635" t="s">
        <v>837</v>
      </c>
      <c r="D18" s="3058">
        <f>'CONT EXECUTIE  '!C223</f>
        <v>3600000</v>
      </c>
      <c r="E18" s="3058">
        <f>'CONT EXECUTIE  '!D223</f>
        <v>1813000</v>
      </c>
      <c r="F18" s="3058">
        <f>'CONT EXECUTIE  '!E223</f>
        <v>3716000</v>
      </c>
      <c r="G18" s="3058">
        <f>'CONT EXECUTIE  '!F223</f>
        <v>1818000</v>
      </c>
      <c r="H18" s="3058">
        <f>'CONT EXECUTIE  '!G223</f>
        <v>3716000</v>
      </c>
      <c r="I18" s="3058">
        <f>'CONT EXECUTIE  '!H223</f>
        <v>3967639</v>
      </c>
      <c r="J18" s="3058">
        <f>'CONT EXECUTIE  '!K223</f>
        <v>1818000</v>
      </c>
      <c r="K18" s="3058">
        <f t="shared" si="0"/>
        <v>2149639</v>
      </c>
      <c r="L18" s="3126">
        <f>'CONT EXECUTIE  '!M223</f>
        <v>1599729</v>
      </c>
      <c r="M18" s="244"/>
      <c r="N18" s="244"/>
      <c r="O18" s="244"/>
    </row>
    <row r="19" spans="2:15" s="243" customFormat="1" ht="25.5" customHeight="1">
      <c r="B19" s="3638" t="s">
        <v>838</v>
      </c>
      <c r="C19" s="3634" t="s">
        <v>839</v>
      </c>
      <c r="D19" s="3113">
        <f>'CONT EXECUTIE  '!C226</f>
        <v>88137450</v>
      </c>
      <c r="E19" s="3113">
        <f>'CONT EXECUTIE  '!D226</f>
        <v>37225450</v>
      </c>
      <c r="F19" s="3113">
        <f>'CONT EXECUTIE  '!E226</f>
        <v>84597510</v>
      </c>
      <c r="G19" s="3113">
        <f>'CONT EXECUTIE  '!F226</f>
        <v>36465780</v>
      </c>
      <c r="H19" s="3113">
        <f>'CONT EXECUTIE  '!G226</f>
        <v>84588774</v>
      </c>
      <c r="I19" s="3113">
        <f>'CONT EXECUTIE  '!H226</f>
        <v>94594576</v>
      </c>
      <c r="J19" s="3113">
        <f>'CONT EXECUTIE  '!K226</f>
        <v>36253987</v>
      </c>
      <c r="K19" s="3113">
        <f t="shared" si="0"/>
        <v>58340589</v>
      </c>
      <c r="L19" s="3114">
        <f>'CONT EXECUTIE  '!M226</f>
        <v>30433388</v>
      </c>
      <c r="M19" s="244"/>
      <c r="N19" s="244"/>
      <c r="O19" s="244"/>
    </row>
    <row r="20" spans="2:15" s="245" customFormat="1" ht="25.5" customHeight="1">
      <c r="B20" s="3639" t="s">
        <v>840</v>
      </c>
      <c r="C20" s="3635" t="s">
        <v>841</v>
      </c>
      <c r="D20" s="3058">
        <f>'CONT EXECUTIE  '!C227</f>
        <v>53469000</v>
      </c>
      <c r="E20" s="3058">
        <f>'CONT EXECUTIE  '!D227</f>
        <v>21833000</v>
      </c>
      <c r="F20" s="3058">
        <f>'CONT EXECUTIE  '!E227</f>
        <v>50066840</v>
      </c>
      <c r="G20" s="3058">
        <f>'CONT EXECUTIE  '!F227</f>
        <v>20116840</v>
      </c>
      <c r="H20" s="3058">
        <f>'CONT EXECUTIE  '!G227</f>
        <v>50066519</v>
      </c>
      <c r="I20" s="3058">
        <f>'CONT EXECUTIE  '!H227</f>
        <v>56632207</v>
      </c>
      <c r="J20" s="3058">
        <f>'CONT EXECUTIE  '!K227</f>
        <v>19914444</v>
      </c>
      <c r="K20" s="3058">
        <f t="shared" si="0"/>
        <v>36717763</v>
      </c>
      <c r="L20" s="3126">
        <f>'CONT EXECUTIE  '!M227</f>
        <v>16757181</v>
      </c>
      <c r="M20" s="244"/>
      <c r="N20" s="244"/>
      <c r="O20" s="244"/>
    </row>
    <row r="21" spans="2:15" s="245" customFormat="1" ht="25.5">
      <c r="B21" s="3639" t="s">
        <v>842</v>
      </c>
      <c r="C21" s="3635" t="s">
        <v>843</v>
      </c>
      <c r="D21" s="3058">
        <f>'CONT EXECUTIE  '!C235</f>
        <v>20792000</v>
      </c>
      <c r="E21" s="3058">
        <f>'CONT EXECUTIE  '!D235</f>
        <v>8197000</v>
      </c>
      <c r="F21" s="3058">
        <f>'CONT EXECUTIE  '!E235</f>
        <v>21049000</v>
      </c>
      <c r="G21" s="3058">
        <f>'CONT EXECUTIE  '!F235</f>
        <v>9665000</v>
      </c>
      <c r="H21" s="3058">
        <f>'CONT EXECUTIE  '!G235</f>
        <v>21043425</v>
      </c>
      <c r="I21" s="3058">
        <f>'CONT EXECUTIE  '!H235</f>
        <v>22962829</v>
      </c>
      <c r="J21" s="3058">
        <f>'CONT EXECUTIE  '!K235</f>
        <v>9659425</v>
      </c>
      <c r="K21" s="3058">
        <f t="shared" si="0"/>
        <v>13303404</v>
      </c>
      <c r="L21" s="3126">
        <f>'CONT EXECUTIE  '!M235</f>
        <v>7579390</v>
      </c>
      <c r="M21" s="244"/>
      <c r="N21" s="244"/>
      <c r="O21" s="244"/>
    </row>
    <row r="22" spans="2:15" s="245" customFormat="1" ht="22.5" customHeight="1">
      <c r="B22" s="3639" t="s">
        <v>844</v>
      </c>
      <c r="C22" s="3635" t="s">
        <v>845</v>
      </c>
      <c r="D22" s="3058">
        <f>'CONT EXECUTIE  '!C241</f>
        <v>1530000</v>
      </c>
      <c r="E22" s="3058">
        <f>'CONT EXECUTIE  '!D241</f>
        <v>612000</v>
      </c>
      <c r="F22" s="3058">
        <f>'CONT EXECUTIE  '!E241</f>
        <v>1463840</v>
      </c>
      <c r="G22" s="3058">
        <f>'CONT EXECUTIE  '!F241</f>
        <v>596840</v>
      </c>
      <c r="H22" s="3058">
        <f>'CONT EXECUTIE  '!G241</f>
        <v>1463372</v>
      </c>
      <c r="I22" s="3058">
        <f>'CONT EXECUTIE  '!H241</f>
        <v>1616193</v>
      </c>
      <c r="J22" s="3058">
        <f>'CONT EXECUTIE  '!K241</f>
        <v>595684</v>
      </c>
      <c r="K22" s="3058">
        <f t="shared" si="0"/>
        <v>1020509</v>
      </c>
      <c r="L22" s="3126">
        <f>'CONT EXECUTIE  '!M241</f>
        <v>509491</v>
      </c>
      <c r="M22" s="244"/>
      <c r="N22" s="244"/>
      <c r="O22" s="244"/>
    </row>
    <row r="23" spans="2:15" s="245" customFormat="1" ht="25.5">
      <c r="B23" s="3639" t="s">
        <v>846</v>
      </c>
      <c r="C23" s="3635" t="s">
        <v>847</v>
      </c>
      <c r="D23" s="3058">
        <f>'CONT EXECUTIE  '!C245</f>
        <v>10866450</v>
      </c>
      <c r="E23" s="3058">
        <f>'CONT EXECUTIE  '!D245</f>
        <v>6012450</v>
      </c>
      <c r="F23" s="3058">
        <f>'CONT EXECUTIE  '!E245</f>
        <v>10614430</v>
      </c>
      <c r="G23" s="3058">
        <f>'CONT EXECUTIE  '!F245</f>
        <v>5536700</v>
      </c>
      <c r="H23" s="3058">
        <f>'CONT EXECUTIE  '!G245</f>
        <v>10612514</v>
      </c>
      <c r="I23" s="3058">
        <f>'CONT EXECUTIE  '!H245</f>
        <v>11829995</v>
      </c>
      <c r="J23" s="3058">
        <f>'CONT EXECUTIE  '!K245</f>
        <v>5534784</v>
      </c>
      <c r="K23" s="3058">
        <f t="shared" si="0"/>
        <v>6295211</v>
      </c>
      <c r="L23" s="3126">
        <f>'CONT EXECUTIE  '!M245</f>
        <v>5111028</v>
      </c>
      <c r="M23" s="244"/>
      <c r="N23" s="244"/>
      <c r="O23" s="244"/>
    </row>
    <row r="24" spans="2:15" s="245" customFormat="1" ht="37.5" customHeight="1">
      <c r="B24" s="3639" t="s">
        <v>848</v>
      </c>
      <c r="C24" s="3635" t="s">
        <v>849</v>
      </c>
      <c r="D24" s="3058">
        <f>'CONT EXECUTIE  '!C259</f>
        <v>1480000</v>
      </c>
      <c r="E24" s="3058">
        <f>'CONT EXECUTIE  '!D259</f>
        <v>571000</v>
      </c>
      <c r="F24" s="3058">
        <f>'CONT EXECUTIE  '!E259</f>
        <v>1403400</v>
      </c>
      <c r="G24" s="3058">
        <f>'CONT EXECUTIE  '!F259</f>
        <v>550400</v>
      </c>
      <c r="H24" s="3058">
        <f>'CONT EXECUTIE  '!G259</f>
        <v>1402944</v>
      </c>
      <c r="I24" s="3058">
        <f>'CONT EXECUTIE  '!H259</f>
        <v>1553352</v>
      </c>
      <c r="J24" s="3058">
        <f>'CONT EXECUTIE  '!K259</f>
        <v>549650</v>
      </c>
      <c r="K24" s="3058">
        <f t="shared" si="0"/>
        <v>1003702</v>
      </c>
      <c r="L24" s="3126">
        <f>'CONT EXECUTIE  '!M259</f>
        <v>476298</v>
      </c>
      <c r="M24" s="244"/>
      <c r="N24" s="244"/>
      <c r="O24" s="244"/>
    </row>
    <row r="25" spans="2:15" s="243" customFormat="1" ht="37.5" customHeight="1">
      <c r="B25" s="3638" t="s">
        <v>850</v>
      </c>
      <c r="C25" s="3634" t="s">
        <v>851</v>
      </c>
      <c r="D25" s="3113">
        <f>'CONT EXECUTIE  '!C264</f>
        <v>492000</v>
      </c>
      <c r="E25" s="3113">
        <f>'CONT EXECUTIE  '!D264</f>
        <v>192000</v>
      </c>
      <c r="F25" s="3113">
        <f>'CONT EXECUTIE  '!E264</f>
        <v>490310</v>
      </c>
      <c r="G25" s="3113">
        <f>'CONT EXECUTIE  '!F264</f>
        <v>187310</v>
      </c>
      <c r="H25" s="3113">
        <f>'CONT EXECUTIE  '!G264</f>
        <v>490310</v>
      </c>
      <c r="I25" s="3113">
        <f>'CONT EXECUTIE  '!H264</f>
        <v>524255</v>
      </c>
      <c r="J25" s="3113">
        <f>'CONT EXECUTIE  '!K264</f>
        <v>187310</v>
      </c>
      <c r="K25" s="3113">
        <f t="shared" si="0"/>
        <v>336945</v>
      </c>
      <c r="L25" s="3114">
        <f>'CONT EXECUTIE  '!M264</f>
        <v>160074</v>
      </c>
      <c r="M25" s="244"/>
      <c r="N25" s="244"/>
      <c r="O25" s="244"/>
    </row>
    <row r="26" spans="2:15" s="243" customFormat="1" ht="25.5">
      <c r="B26" s="3638" t="s">
        <v>852</v>
      </c>
      <c r="C26" s="3634" t="s">
        <v>853</v>
      </c>
      <c r="D26" s="3113">
        <f>'CONT EXECUTIE  '!C267</f>
        <v>108598000</v>
      </c>
      <c r="E26" s="3113">
        <f>'CONT EXECUTIE  '!D267</f>
        <v>77879000</v>
      </c>
      <c r="F26" s="3113">
        <f>'CONT EXECUTIE  '!E267</f>
        <v>81268940</v>
      </c>
      <c r="G26" s="3113">
        <f>'CONT EXECUTIE  '!F267</f>
        <v>47544940</v>
      </c>
      <c r="H26" s="3113">
        <f>'CONT EXECUTIE  '!G267</f>
        <v>81194868</v>
      </c>
      <c r="I26" s="3113">
        <f>'CONT EXECUTIE  '!H267</f>
        <v>111335950</v>
      </c>
      <c r="J26" s="3113">
        <f>'CONT EXECUTIE  '!K267</f>
        <v>47461137</v>
      </c>
      <c r="K26" s="3113">
        <f t="shared" si="0"/>
        <v>63874813</v>
      </c>
      <c r="L26" s="3114">
        <f>'CONT EXECUTIE  '!M267</f>
        <v>39477471</v>
      </c>
      <c r="M26" s="244"/>
      <c r="N26" s="244"/>
      <c r="O26" s="244"/>
    </row>
    <row r="27" spans="2:15" s="245" customFormat="1" ht="23.25" customHeight="1">
      <c r="B27" s="3639" t="s">
        <v>854</v>
      </c>
      <c r="C27" s="3635" t="s">
        <v>855</v>
      </c>
      <c r="D27" s="3058">
        <f>'CONT EXECUTIE  '!C268</f>
        <v>108598000</v>
      </c>
      <c r="E27" s="3058">
        <f>'CONT EXECUTIE  '!D268</f>
        <v>77879000</v>
      </c>
      <c r="F27" s="3058">
        <f>'CONT EXECUTIE  '!E268</f>
        <v>81268940</v>
      </c>
      <c r="G27" s="3058">
        <f>'CONT EXECUTIE  '!F268</f>
        <v>47544940</v>
      </c>
      <c r="H27" s="3058">
        <f>'CONT EXECUTIE  '!G268</f>
        <v>81194868</v>
      </c>
      <c r="I27" s="3058">
        <f>'CONT EXECUTIE  '!H268</f>
        <v>111335950</v>
      </c>
      <c r="J27" s="3058">
        <f>'CONT EXECUTIE  '!K268</f>
        <v>47461137</v>
      </c>
      <c r="K27" s="3058">
        <f t="shared" si="0"/>
        <v>63874813</v>
      </c>
      <c r="L27" s="3126">
        <f>'CONT EXECUTIE  '!M268</f>
        <v>39477471</v>
      </c>
      <c r="M27" s="244"/>
      <c r="N27" s="244"/>
      <c r="O27" s="244"/>
    </row>
    <row r="28" spans="2:15" s="245" customFormat="1" ht="30.75" customHeight="1">
      <c r="B28" s="3658" t="s">
        <v>856</v>
      </c>
      <c r="C28" s="3659" t="s">
        <v>857</v>
      </c>
      <c r="D28" s="3188">
        <f>'CONT EXECUTIE  '!C285</f>
        <v>0</v>
      </c>
      <c r="E28" s="3188">
        <f>'CONT EXECUTIE  '!D285</f>
        <v>0</v>
      </c>
      <c r="F28" s="3188">
        <f>'CONT EXECUTIE  '!E285</f>
        <v>0</v>
      </c>
      <c r="G28" s="3188">
        <f>'CONT EXECUTIE  '!F285</f>
        <v>0</v>
      </c>
      <c r="H28" s="3188">
        <f>'CONT EXECUTIE  '!G285</f>
        <v>0</v>
      </c>
      <c r="I28" s="3188">
        <f>'CONT EXECUTIE  '!H285</f>
        <v>0</v>
      </c>
      <c r="J28" s="3188">
        <f>'CONT EXECUTIE  '!K285</f>
        <v>0</v>
      </c>
      <c r="K28" s="3188">
        <f t="shared" si="0"/>
        <v>0</v>
      </c>
      <c r="L28" s="3190">
        <f>'CONT EXECUTIE  '!M285</f>
        <v>0</v>
      </c>
      <c r="M28" s="244"/>
      <c r="N28" s="244"/>
      <c r="O28" s="244"/>
    </row>
    <row r="29" spans="2:15" s="243" customFormat="1" ht="24.75" customHeight="1">
      <c r="B29" s="3650" t="s">
        <v>858</v>
      </c>
      <c r="C29" s="3651" t="s">
        <v>859</v>
      </c>
      <c r="D29" s="2717">
        <f>'CONT EXECUTIE  '!C290</f>
        <v>107000</v>
      </c>
      <c r="E29" s="2717">
        <f>'CONT EXECUTIE  '!D290</f>
        <v>60000</v>
      </c>
      <c r="F29" s="2717">
        <f>'CONT EXECUTIE  '!E290</f>
        <v>107000</v>
      </c>
      <c r="G29" s="2717">
        <f>'CONT EXECUTIE  '!F290</f>
        <v>53000</v>
      </c>
      <c r="H29" s="2717">
        <f>'CONT EXECUTIE  '!G290</f>
        <v>107000</v>
      </c>
      <c r="I29" s="2717">
        <f>'CONT EXECUTIE  '!H290</f>
        <v>115117</v>
      </c>
      <c r="J29" s="2717">
        <f>'CONT EXECUTIE  '!K290</f>
        <v>50999</v>
      </c>
      <c r="K29" s="2717">
        <f t="shared" si="0"/>
        <v>64118</v>
      </c>
      <c r="L29" s="2718">
        <f>'CONT EXECUTIE  '!M290</f>
        <v>42882</v>
      </c>
      <c r="M29" s="244"/>
      <c r="N29" s="244"/>
      <c r="O29" s="244"/>
    </row>
    <row r="30" spans="2:15" s="243" customFormat="1" ht="35.25" customHeight="1">
      <c r="B30" s="3638" t="s">
        <v>860</v>
      </c>
      <c r="C30" s="3634" t="s">
        <v>861</v>
      </c>
      <c r="D30" s="3113">
        <f>'CONT EXECUTIE  '!C291</f>
        <v>587090</v>
      </c>
      <c r="E30" s="3113">
        <f>'CONT EXECUTIE  '!D291</f>
        <v>587090</v>
      </c>
      <c r="F30" s="3113">
        <f>'CONT EXECUTIE  '!E291</f>
        <v>587090</v>
      </c>
      <c r="G30" s="3113">
        <f>'CONT EXECUTIE  '!F291</f>
        <v>587090</v>
      </c>
      <c r="H30" s="3113">
        <f>'CONT EXECUTIE  '!G291</f>
        <v>557772</v>
      </c>
      <c r="I30" s="3113">
        <f>'CONT EXECUTIE  '!H291</f>
        <v>557772</v>
      </c>
      <c r="J30" s="3113">
        <f>'CONT EXECUTIE  '!K291</f>
        <v>557772</v>
      </c>
      <c r="K30" s="3113">
        <f t="shared" si="0"/>
        <v>0</v>
      </c>
      <c r="L30" s="3114">
        <f>'CONT EXECUTIE  '!M291</f>
        <v>587084</v>
      </c>
      <c r="M30" s="244"/>
      <c r="N30" s="244"/>
      <c r="O30" s="244"/>
    </row>
    <row r="31" spans="2:15" s="243" customFormat="1" ht="13.5" customHeight="1">
      <c r="B31" s="3638" t="s">
        <v>878</v>
      </c>
      <c r="C31" s="3634" t="s">
        <v>879</v>
      </c>
      <c r="D31" s="3113">
        <f>'CONT EXECUTIE  '!C293</f>
        <v>14664000</v>
      </c>
      <c r="E31" s="3113">
        <f>'CONT EXECUTIE  '!D293</f>
        <v>9583000</v>
      </c>
      <c r="F31" s="3113">
        <f>'CONT EXECUTIE  '!E293</f>
        <v>14664000</v>
      </c>
      <c r="G31" s="3113">
        <f>'CONT EXECUTIE  '!F293</f>
        <v>9583000</v>
      </c>
      <c r="H31" s="3113">
        <f>'CONT EXECUTIE  '!G293</f>
        <v>9539977</v>
      </c>
      <c r="I31" s="3113">
        <f>'CONT EXECUTIE  '!H293</f>
        <v>9539977</v>
      </c>
      <c r="J31" s="3113">
        <f>'CONT EXECUTIE  '!K293</f>
        <v>9539977</v>
      </c>
      <c r="K31" s="3113">
        <f t="shared" si="0"/>
        <v>0</v>
      </c>
      <c r="L31" s="3114">
        <f>'CONT EXECUTIE  '!M293</f>
        <v>9580511</v>
      </c>
      <c r="M31" s="244"/>
      <c r="N31" s="244"/>
      <c r="O31" s="244"/>
    </row>
    <row r="32" spans="2:15" s="243" customFormat="1" ht="32.25" customHeight="1">
      <c r="B32" s="3638" t="s">
        <v>880</v>
      </c>
      <c r="C32" s="3634" t="s">
        <v>881</v>
      </c>
      <c r="D32" s="3113">
        <f>'CONT EXECUTIE  '!C298</f>
        <v>8323000</v>
      </c>
      <c r="E32" s="3113">
        <f>'CONT EXECUTIE  '!D298</f>
        <v>6583000</v>
      </c>
      <c r="F32" s="3113">
        <f>'CONT EXECUTIE  '!E298</f>
        <v>8323000</v>
      </c>
      <c r="G32" s="3113">
        <f>'CONT EXECUTIE  '!F298</f>
        <v>6583000</v>
      </c>
      <c r="H32" s="3113">
        <f>'CONT EXECUTIE  '!G298</f>
        <v>6582972</v>
      </c>
      <c r="I32" s="3113">
        <f>'CONT EXECUTIE  '!H298</f>
        <v>6582972</v>
      </c>
      <c r="J32" s="3113">
        <f>'CONT EXECUTIE  '!K298</f>
        <v>6582972</v>
      </c>
      <c r="K32" s="3113">
        <f t="shared" si="0"/>
        <v>0</v>
      </c>
      <c r="L32" s="3114">
        <f>'CONT EXECUTIE  '!M298</f>
        <v>6582972</v>
      </c>
      <c r="M32" s="244"/>
      <c r="N32" s="244"/>
      <c r="O32" s="244"/>
    </row>
    <row r="33" spans="2:15" s="245" customFormat="1">
      <c r="B33" s="3639" t="s">
        <v>882</v>
      </c>
      <c r="C33" s="3635" t="s">
        <v>883</v>
      </c>
      <c r="D33" s="3058">
        <f>'CONT EXECUTIE  '!C299</f>
        <v>8323000</v>
      </c>
      <c r="E33" s="3058">
        <f>'CONT EXECUTIE  '!D299</f>
        <v>6583000</v>
      </c>
      <c r="F33" s="3058">
        <f>'CONT EXECUTIE  '!E299</f>
        <v>8323000</v>
      </c>
      <c r="G33" s="3058">
        <f>'CONT EXECUTIE  '!F299</f>
        <v>6583000</v>
      </c>
      <c r="H33" s="3058">
        <f>'CONT EXECUTIE  '!G299</f>
        <v>6582972</v>
      </c>
      <c r="I33" s="3058">
        <f>'CONT EXECUTIE  '!H299</f>
        <v>6582972</v>
      </c>
      <c r="J33" s="3058">
        <f>'CONT EXECUTIE  '!K299</f>
        <v>6582972</v>
      </c>
      <c r="K33" s="3058">
        <f t="shared" si="0"/>
        <v>0</v>
      </c>
      <c r="L33" s="3126">
        <f>'CONT EXECUTIE  '!M299</f>
        <v>6582972</v>
      </c>
      <c r="M33" s="244"/>
      <c r="N33" s="244"/>
      <c r="O33" s="244"/>
    </row>
    <row r="34" spans="2:15" s="245" customFormat="1" ht="14.25">
      <c r="B34" s="3639" t="s">
        <v>884</v>
      </c>
      <c r="C34" s="3635" t="s">
        <v>885</v>
      </c>
      <c r="D34" s="3058">
        <f>'CONT EXECUTIE  '!C300</f>
        <v>6341000</v>
      </c>
      <c r="E34" s="3058">
        <f>'CONT EXECUTIE  '!D300</f>
        <v>3000000</v>
      </c>
      <c r="F34" s="3058">
        <f>'CONT EXECUTIE  '!E300</f>
        <v>6341000</v>
      </c>
      <c r="G34" s="3058">
        <f>'CONT EXECUTIE  '!F300</f>
        <v>3000000</v>
      </c>
      <c r="H34" s="3058">
        <f>'CONT EXECUTIE  '!G300</f>
        <v>2957005</v>
      </c>
      <c r="I34" s="3058">
        <f>'CONT EXECUTIE  '!H300</f>
        <v>2957005</v>
      </c>
      <c r="J34" s="3058">
        <f>'CONT EXECUTIE  '!K300</f>
        <v>2957005</v>
      </c>
      <c r="K34" s="3058">
        <f t="shared" si="0"/>
        <v>0</v>
      </c>
      <c r="L34" s="3126">
        <f>'CONT EXECUTIE  '!M300</f>
        <v>2997539</v>
      </c>
      <c r="M34" s="246"/>
      <c r="N34" s="246"/>
      <c r="O34" s="246"/>
    </row>
    <row r="35" spans="2:15" s="243" customFormat="1" ht="13.5" customHeight="1">
      <c r="B35" s="3638" t="s">
        <v>886</v>
      </c>
      <c r="C35" s="3634" t="s">
        <v>887</v>
      </c>
      <c r="D35" s="3569"/>
      <c r="E35" s="3569"/>
      <c r="F35" s="3113">
        <f>ROUND(F36,1)</f>
        <v>0</v>
      </c>
      <c r="G35" s="3113">
        <f>ROUND(G36,1)</f>
        <v>0</v>
      </c>
      <c r="H35" s="3113"/>
      <c r="I35" s="3113"/>
      <c r="J35" s="3113">
        <f>ROUND(J36,1)</f>
        <v>0</v>
      </c>
      <c r="K35" s="3113"/>
      <c r="L35" s="3114"/>
      <c r="M35" s="240"/>
      <c r="N35" s="240"/>
      <c r="O35" s="244"/>
    </row>
    <row r="36" spans="2:15" s="243" customFormat="1">
      <c r="B36" s="3638" t="s">
        <v>888</v>
      </c>
      <c r="C36" s="3634" t="s">
        <v>889</v>
      </c>
      <c r="D36" s="3569"/>
      <c r="E36" s="3569"/>
      <c r="F36" s="3113">
        <f>'CONT EXECUTIE  '!E306</f>
        <v>0</v>
      </c>
      <c r="G36" s="3113">
        <f>'CONT EXECUTIE  '!F306</f>
        <v>0</v>
      </c>
      <c r="H36" s="3113"/>
      <c r="I36" s="3113"/>
      <c r="J36" s="3113">
        <f>'CONT EXECUTIE  '!K306</f>
        <v>0</v>
      </c>
      <c r="K36" s="3113"/>
      <c r="L36" s="3640"/>
      <c r="M36" s="240"/>
      <c r="N36" s="240"/>
      <c r="O36" s="244"/>
    </row>
    <row r="37" spans="2:15" s="245" customFormat="1">
      <c r="B37" s="3641" t="s">
        <v>890</v>
      </c>
      <c r="C37" s="3635" t="s">
        <v>891</v>
      </c>
      <c r="D37" s="3567"/>
      <c r="E37" s="3567"/>
      <c r="F37" s="3637">
        <f>'CONT EXECUTIE  '!E307</f>
        <v>0</v>
      </c>
      <c r="G37" s="3637">
        <f>'CONT EXECUTIE  '!F307</f>
        <v>0</v>
      </c>
      <c r="H37" s="3058"/>
      <c r="I37" s="3058"/>
      <c r="J37" s="3058">
        <f>'CONT EXECUTIE  '!K307</f>
        <v>0</v>
      </c>
      <c r="K37" s="3058"/>
      <c r="L37" s="3642"/>
      <c r="M37" s="240"/>
      <c r="N37" s="240"/>
      <c r="O37" s="244"/>
    </row>
    <row r="38" spans="2:15" s="245" customFormat="1">
      <c r="B38" s="3641" t="s">
        <v>892</v>
      </c>
      <c r="C38" s="3635" t="s">
        <v>893</v>
      </c>
      <c r="D38" s="3567"/>
      <c r="E38" s="3567"/>
      <c r="F38" s="3637">
        <f>'CONT EXECUTIE  '!E308</f>
        <v>-159057390</v>
      </c>
      <c r="G38" s="3637">
        <f>'CONT EXECUTIE  '!F308</f>
        <v>-108094490</v>
      </c>
      <c r="H38" s="3058"/>
      <c r="I38" s="3058"/>
      <c r="J38" s="3058">
        <f>'CONT EXECUTIE  '!K308</f>
        <v>-111560525</v>
      </c>
      <c r="K38" s="3058"/>
      <c r="L38" s="3642"/>
      <c r="M38" s="240"/>
      <c r="N38" s="240"/>
      <c r="O38" s="244"/>
    </row>
    <row r="39" spans="2:15" s="239" customFormat="1" ht="12" customHeight="1">
      <c r="B39" s="3643"/>
      <c r="C39" s="3644"/>
      <c r="D39" s="3645"/>
      <c r="E39" s="3645"/>
      <c r="F39" s="3646"/>
      <c r="G39" s="3646"/>
      <c r="H39" s="3646"/>
      <c r="I39" s="3646"/>
      <c r="J39" s="3647"/>
      <c r="K39" s="3648"/>
      <c r="L39" s="3649"/>
      <c r="M39" s="240"/>
      <c r="N39" s="240"/>
      <c r="O39" s="240"/>
    </row>
    <row r="40" spans="2:15" s="239" customFormat="1" ht="12.75" customHeight="1">
      <c r="B40" s="237"/>
      <c r="C40" s="238"/>
      <c r="D40" s="237"/>
      <c r="E40" s="237"/>
      <c r="F40" s="247"/>
      <c r="G40" s="247">
        <f>'ANEXA 5 '!D10-'ANEXA 6'!G8-'ANEXA 6'!G36</f>
        <v>-108094490</v>
      </c>
      <c r="H40" s="248"/>
      <c r="I40" s="249"/>
      <c r="J40" s="247" t="e">
        <f>IF</f>
        <v>#NAME?</v>
      </c>
      <c r="K40" s="249"/>
      <c r="L40" s="249"/>
      <c r="M40" s="250"/>
      <c r="N40" s="250"/>
      <c r="O40" s="250"/>
    </row>
    <row r="41" spans="2:15" ht="15.75">
      <c r="B41" s="251"/>
      <c r="C41" s="251"/>
      <c r="D41" s="251"/>
      <c r="E41" s="251"/>
      <c r="F41" s="251"/>
      <c r="J41" s="697"/>
      <c r="K41" s="3834"/>
      <c r="L41" s="254"/>
      <c r="M41" s="255"/>
      <c r="N41" s="256"/>
      <c r="O41" s="255"/>
    </row>
    <row r="42" spans="2:15" ht="15.75" customHeight="1">
      <c r="B42" s="3984" t="str">
        <f>'ANEXA 1'!B94</f>
        <v>DIRECTOR  GENERAL,</v>
      </c>
      <c r="C42" s="3984"/>
      <c r="D42" s="3984"/>
      <c r="E42" s="1270"/>
      <c r="F42" s="257"/>
      <c r="H42" s="4003" t="str">
        <f>'ANEXA 1'!D94</f>
        <v>DIRECTOR  EXECUTIV  ECONOMIC,</v>
      </c>
      <c r="I42" s="4003"/>
      <c r="J42" s="4003"/>
      <c r="K42" s="3835"/>
      <c r="L42" s="258"/>
      <c r="M42" s="255"/>
      <c r="N42" s="256"/>
      <c r="O42" s="255"/>
    </row>
    <row r="43" spans="2:15" ht="15.75">
      <c r="H43" s="3836"/>
      <c r="I43" s="3836"/>
      <c r="J43" s="3836"/>
    </row>
    <row r="44" spans="2:15" ht="15.75">
      <c r="B44" s="4118" t="str">
        <f>'ANEXA 1'!B96</f>
        <v>EC.ALBU DRINA</v>
      </c>
      <c r="C44" s="4118"/>
      <c r="D44" s="4118"/>
      <c r="E44" s="1272"/>
      <c r="H44" s="4118" t="str">
        <f>'ANEXA 1'!D96</f>
        <v>EC.BIRCU FLORINA</v>
      </c>
      <c r="I44" s="4118"/>
      <c r="J44" s="4118"/>
    </row>
    <row r="45" spans="2:15">
      <c r="B45" s="4119">
        <f>'ANEXA 1'!B97</f>
        <v>0</v>
      </c>
      <c r="C45" s="4119"/>
      <c r="D45" s="4119"/>
      <c r="E45" s="1271"/>
    </row>
    <row r="48" spans="2:15">
      <c r="B48" s="4006">
        <f>+'ANEXA 1'!B99</f>
        <v>0</v>
      </c>
      <c r="C48" s="4006"/>
      <c r="D48" s="4006"/>
      <c r="H48" s="4117">
        <f>'ANEXA 1'!D99</f>
        <v>0</v>
      </c>
      <c r="I48" s="4117"/>
      <c r="J48" s="4117"/>
    </row>
    <row r="49" spans="2:11">
      <c r="B49" s="240"/>
      <c r="C49" s="240"/>
      <c r="D49" s="240"/>
      <c r="H49" s="238"/>
      <c r="I49" s="238"/>
      <c r="J49" s="238"/>
      <c r="K49" s="1129"/>
    </row>
    <row r="50" spans="2:11">
      <c r="B50" s="4006">
        <f>+'ANEXA 1'!B101</f>
        <v>0</v>
      </c>
      <c r="C50" s="4006"/>
      <c r="D50" s="4006"/>
      <c r="H50" s="4117">
        <f>'ANEXA 1'!D101</f>
        <v>0</v>
      </c>
      <c r="I50" s="4117"/>
      <c r="J50" s="4117"/>
    </row>
    <row r="51" spans="2:11">
      <c r="K51" s="2056"/>
    </row>
  </sheetData>
  <sheetProtection password="CFDD" sheet="1" objects="1" scenarios="1"/>
  <mergeCells count="21">
    <mergeCell ref="B1:H1"/>
    <mergeCell ref="B2:L2"/>
    <mergeCell ref="B3:L3"/>
    <mergeCell ref="B5:B6"/>
    <mergeCell ref="C5:C6"/>
    <mergeCell ref="F5:G5"/>
    <mergeCell ref="H5:H6"/>
    <mergeCell ref="I5:I6"/>
    <mergeCell ref="J5:J6"/>
    <mergeCell ref="D5:E5"/>
    <mergeCell ref="K5:K6"/>
    <mergeCell ref="L5:L6"/>
    <mergeCell ref="H48:J48"/>
    <mergeCell ref="H50:J50"/>
    <mergeCell ref="B48:D48"/>
    <mergeCell ref="B50:D50"/>
    <mergeCell ref="H42:J42"/>
    <mergeCell ref="B44:D44"/>
    <mergeCell ref="H44:J44"/>
    <mergeCell ref="B45:D45"/>
    <mergeCell ref="B42:D42"/>
  </mergeCells>
  <phoneticPr fontId="0" type="noConversion"/>
  <dataValidations count="1">
    <dataValidation allowBlank="1" showErrorMessage="1" sqref="D8:L39"/>
  </dataValidations>
  <pageMargins left="0.43307086614173229" right="0.19685039370078741" top="0" bottom="0.11811023622047245" header="0.51181102362204722" footer="0.11811023622047245"/>
  <pageSetup paperSize="9" scale="73" firstPageNumber="0" orientation="landscape" r:id="rId1"/>
  <headerFooter alignWithMargins="0">
    <oddFooter>&amp;C&amp;A&amp;RPagina &amp;P</oddFooter>
  </headerFooter>
  <rowBreaks count="1" manualBreakCount="1">
    <brk id="28" min="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6">
    <tabColor rgb="FFC00000"/>
  </sheetPr>
  <dimension ref="A1:O31"/>
  <sheetViews>
    <sheetView showZeros="0" topLeftCell="B1" workbookViewId="0">
      <selection activeCell="F27" sqref="F27"/>
    </sheetView>
  </sheetViews>
  <sheetFormatPr defaultColWidth="9.140625" defaultRowHeight="15"/>
  <cols>
    <col min="1" max="1" width="4" style="7" hidden="1" customWidth="1"/>
    <col min="2" max="2" width="33.140625" style="237" customWidth="1"/>
    <col min="3" max="3" width="11.85546875" style="238" customWidth="1"/>
    <col min="4" max="5" width="15.140625" style="237" customWidth="1"/>
    <col min="6" max="6" width="15.28515625" style="239" customWidth="1"/>
    <col min="7" max="7" width="15.140625" style="7" customWidth="1"/>
    <col min="8" max="8" width="15.42578125" style="7" customWidth="1"/>
    <col min="9" max="9" width="15.140625" style="7" customWidth="1"/>
    <col min="10" max="12" width="15.5703125" style="7" customWidth="1"/>
    <col min="13" max="14" width="10.5703125" style="240" customWidth="1"/>
    <col min="15" max="15" width="10.7109375" style="240" customWidth="1"/>
    <col min="16" max="16384" width="9.140625" style="7"/>
  </cols>
  <sheetData>
    <row r="1" spans="2:15">
      <c r="B1" s="3989" t="str">
        <f>'ANEXA 1'!A1</f>
        <v>CASA  DE  ASIGURĂRI  DE  SĂNĂTATE MEHEDINTI</v>
      </c>
      <c r="C1" s="3989"/>
      <c r="D1" s="3989"/>
      <c r="E1" s="3989"/>
      <c r="F1" s="3989"/>
      <c r="G1" s="3989"/>
      <c r="H1" s="3989"/>
      <c r="L1" s="8" t="s">
        <v>804</v>
      </c>
    </row>
    <row r="2" spans="2:15">
      <c r="B2" s="4120" t="s">
        <v>805</v>
      </c>
      <c r="C2" s="4120"/>
      <c r="D2" s="4120"/>
      <c r="E2" s="4120"/>
      <c r="F2" s="4120"/>
      <c r="G2" s="4120"/>
      <c r="H2" s="4120"/>
      <c r="I2" s="4120"/>
      <c r="J2" s="4120"/>
      <c r="K2" s="4120"/>
      <c r="L2" s="4120"/>
    </row>
    <row r="3" spans="2:15">
      <c r="B3" s="4121" t="str">
        <f>'ANEXA 1'!A12</f>
        <v>la  data  de  30  IUNIE  2023</v>
      </c>
      <c r="C3" s="4121"/>
      <c r="D3" s="4121"/>
      <c r="E3" s="4121"/>
      <c r="F3" s="4121"/>
      <c r="G3" s="4121"/>
      <c r="H3" s="4121"/>
      <c r="I3" s="4121"/>
      <c r="J3" s="4121"/>
      <c r="K3" s="4121"/>
      <c r="L3" s="4121"/>
    </row>
    <row r="4" spans="2:15">
      <c r="B4" s="241" t="s">
        <v>806</v>
      </c>
      <c r="K4" s="242"/>
      <c r="L4" s="8" t="s">
        <v>271</v>
      </c>
    </row>
    <row r="5" spans="2:15" ht="15" customHeight="1">
      <c r="B5" s="4136" t="s">
        <v>807</v>
      </c>
      <c r="C5" s="4138" t="s">
        <v>808</v>
      </c>
      <c r="D5" s="4145" t="s">
        <v>809</v>
      </c>
      <c r="E5" s="4131"/>
      <c r="F5" s="4126" t="s">
        <v>810</v>
      </c>
      <c r="G5" s="4126"/>
      <c r="H5" s="4140" t="s">
        <v>811</v>
      </c>
      <c r="I5" s="4142" t="s">
        <v>812</v>
      </c>
      <c r="J5" s="4142" t="s">
        <v>813</v>
      </c>
      <c r="K5" s="4142" t="s">
        <v>814</v>
      </c>
      <c r="L5" s="4132" t="s">
        <v>815</v>
      </c>
    </row>
    <row r="6" spans="2:15" ht="62.25" customHeight="1">
      <c r="B6" s="4137"/>
      <c r="C6" s="4139"/>
      <c r="D6" s="1301" t="str">
        <f>'ANEXA 6'!D6</f>
        <v>anuale aprobate la finele perioadei de raportare</v>
      </c>
      <c r="E6" s="1301" t="str">
        <f>'ANEXA 6'!E6</f>
        <v>trimestriale cumulate</v>
      </c>
      <c r="F6" s="1301" t="str">
        <f>'ANEXA 6'!F6</f>
        <v>anuale aprobate la finele perioadei de raportare</v>
      </c>
      <c r="G6" s="1301" t="str">
        <f>'ANEXA 6'!G6</f>
        <v>trimestriale cumulate</v>
      </c>
      <c r="H6" s="4141"/>
      <c r="I6" s="4143"/>
      <c r="J6" s="4143"/>
      <c r="K6" s="4143"/>
      <c r="L6" s="4144"/>
    </row>
    <row r="7" spans="2:15" ht="11.25" customHeight="1">
      <c r="B7" s="1293" t="s">
        <v>92</v>
      </c>
      <c r="C7" s="1291" t="s">
        <v>93</v>
      </c>
      <c r="D7" s="1289">
        <v>1</v>
      </c>
      <c r="E7" s="1283">
        <v>2</v>
      </c>
      <c r="F7" s="1284">
        <v>3</v>
      </c>
      <c r="G7" s="1285">
        <v>4</v>
      </c>
      <c r="H7" s="1285">
        <v>5</v>
      </c>
      <c r="I7" s="1286">
        <v>6</v>
      </c>
      <c r="J7" s="1286">
        <v>7</v>
      </c>
      <c r="K7" s="1287" t="s">
        <v>2057</v>
      </c>
      <c r="L7" s="1288">
        <v>9</v>
      </c>
    </row>
    <row r="8" spans="2:15" s="243" customFormat="1" ht="63.75" hidden="1">
      <c r="B8" s="1294" t="s">
        <v>1996</v>
      </c>
      <c r="C8" s="1292" t="s">
        <v>2003</v>
      </c>
      <c r="D8" s="1290"/>
      <c r="E8" s="1060"/>
      <c r="F8" s="1060"/>
      <c r="G8" s="1060"/>
      <c r="H8" s="1060"/>
      <c r="I8" s="1060"/>
      <c r="J8" s="1060"/>
      <c r="K8" s="1060"/>
      <c r="L8" s="1281"/>
      <c r="M8" s="244"/>
      <c r="N8" s="244"/>
      <c r="O8" s="244"/>
    </row>
    <row r="9" spans="2:15" s="243" customFormat="1" ht="25.5" hidden="1">
      <c r="B9" s="1294" t="s">
        <v>2000</v>
      </c>
      <c r="C9" s="1292" t="s">
        <v>2002</v>
      </c>
      <c r="D9" s="1290"/>
      <c r="E9" s="1060"/>
      <c r="F9" s="1060"/>
      <c r="G9" s="1060"/>
      <c r="H9" s="1060"/>
      <c r="I9" s="1060"/>
      <c r="J9" s="1060"/>
      <c r="K9" s="1060"/>
      <c r="L9" s="1281"/>
      <c r="M9" s="244"/>
      <c r="N9" s="244"/>
      <c r="O9" s="244"/>
    </row>
    <row r="10" spans="2:15" s="243" customFormat="1" hidden="1">
      <c r="B10" s="1294" t="s">
        <v>975</v>
      </c>
      <c r="C10" s="1292" t="s">
        <v>2004</v>
      </c>
      <c r="D10" s="1290"/>
      <c r="E10" s="1060"/>
      <c r="F10" s="1060"/>
      <c r="G10" s="1060"/>
      <c r="H10" s="1060"/>
      <c r="I10" s="1060"/>
      <c r="J10" s="1060"/>
      <c r="K10" s="1060"/>
      <c r="L10" s="1281"/>
      <c r="M10" s="244"/>
      <c r="N10" s="244"/>
      <c r="O10" s="244"/>
    </row>
    <row r="11" spans="2:15" s="243" customFormat="1" hidden="1">
      <c r="B11" s="1294" t="s">
        <v>976</v>
      </c>
      <c r="C11" s="1292" t="s">
        <v>2005</v>
      </c>
      <c r="D11" s="1290"/>
      <c r="E11" s="1060"/>
      <c r="F11" s="1060"/>
      <c r="G11" s="1060"/>
      <c r="H11" s="1060"/>
      <c r="I11" s="1060"/>
      <c r="J11" s="1060"/>
      <c r="K11" s="1060"/>
      <c r="L11" s="1281"/>
      <c r="M11" s="244"/>
      <c r="N11" s="244"/>
      <c r="O11" s="244"/>
    </row>
    <row r="12" spans="2:15" s="243" customFormat="1" hidden="1">
      <c r="B12" s="1679" t="s">
        <v>1860</v>
      </c>
      <c r="C12" s="1680" t="s">
        <v>2006</v>
      </c>
      <c r="D12" s="1681"/>
      <c r="E12" s="1682"/>
      <c r="F12" s="1682"/>
      <c r="G12" s="1682"/>
      <c r="H12" s="1682"/>
      <c r="I12" s="1682"/>
      <c r="J12" s="1682"/>
      <c r="K12" s="1682"/>
      <c r="L12" s="1683"/>
      <c r="M12" s="244"/>
      <c r="N12" s="244"/>
      <c r="O12" s="244"/>
    </row>
    <row r="13" spans="2:15" s="243" customFormat="1">
      <c r="B13" s="1684" t="s">
        <v>820</v>
      </c>
      <c r="C13" s="1685" t="s">
        <v>1660</v>
      </c>
      <c r="D13" s="1686">
        <f t="shared" ref="D13:L13" si="0">+D14</f>
        <v>0</v>
      </c>
      <c r="E13" s="1686">
        <f t="shared" si="0"/>
        <v>0</v>
      </c>
      <c r="F13" s="1686">
        <f t="shared" si="0"/>
        <v>0</v>
      </c>
      <c r="G13" s="1686">
        <f t="shared" si="0"/>
        <v>0</v>
      </c>
      <c r="H13" s="1686">
        <f t="shared" si="0"/>
        <v>0</v>
      </c>
      <c r="I13" s="1686">
        <f t="shared" si="0"/>
        <v>0</v>
      </c>
      <c r="J13" s="1686">
        <f t="shared" si="0"/>
        <v>0</v>
      </c>
      <c r="K13" s="1686">
        <f t="shared" si="0"/>
        <v>0</v>
      </c>
      <c r="L13" s="1687">
        <f t="shared" si="0"/>
        <v>0</v>
      </c>
      <c r="M13" s="244"/>
      <c r="N13" s="244"/>
      <c r="O13" s="244"/>
    </row>
    <row r="14" spans="2:15" s="243" customFormat="1" ht="23.25" customHeight="1">
      <c r="B14" s="1329" t="s">
        <v>2001</v>
      </c>
      <c r="C14" s="1676" t="s">
        <v>2009</v>
      </c>
      <c r="D14" s="1169">
        <f>+D15</f>
        <v>0</v>
      </c>
      <c r="E14" s="1169">
        <f>+E15</f>
        <v>0</v>
      </c>
      <c r="F14" s="1169">
        <f>+F15</f>
        <v>0</v>
      </c>
      <c r="G14" s="1169">
        <f>+G15</f>
        <v>0</v>
      </c>
      <c r="H14" s="1169">
        <f>H15</f>
        <v>0</v>
      </c>
      <c r="I14" s="1169">
        <f>I15</f>
        <v>0</v>
      </c>
      <c r="J14" s="1169">
        <f>J15</f>
        <v>0</v>
      </c>
      <c r="K14" s="1169">
        <f>K15</f>
        <v>0</v>
      </c>
      <c r="L14" s="1296">
        <f>L15</f>
        <v>0</v>
      </c>
      <c r="M14" s="244"/>
      <c r="N14" s="244"/>
      <c r="O14" s="244"/>
    </row>
    <row r="15" spans="2:15" s="243" customFormat="1" ht="15" customHeight="1">
      <c r="B15" s="1677" t="s">
        <v>1997</v>
      </c>
      <c r="C15" s="1678" t="s">
        <v>2010</v>
      </c>
      <c r="D15" s="1340"/>
      <c r="E15" s="1340"/>
      <c r="F15" s="1340"/>
      <c r="G15" s="1340"/>
      <c r="H15" s="1340">
        <f>'ANEXA 7 CAPITOL 6608'!G12</f>
        <v>0</v>
      </c>
      <c r="I15" s="1340">
        <f>'CONT EXECUTIE   (2)'!H19</f>
        <v>0</v>
      </c>
      <c r="J15" s="1340">
        <f>'CONT EXECUTIE   (2)'!K19</f>
        <v>0</v>
      </c>
      <c r="K15" s="1340">
        <f>'CONT EXECUTIE   (2)'!L19</f>
        <v>0</v>
      </c>
      <c r="L15" s="1345">
        <f>'CONT EXECUTIE   (2)'!M19</f>
        <v>0</v>
      </c>
      <c r="M15" s="244"/>
      <c r="N15" s="244"/>
      <c r="O15" s="244"/>
    </row>
    <row r="16" spans="2:15" s="243" customFormat="1" ht="15" customHeight="1">
      <c r="B16" s="1688" t="s">
        <v>886</v>
      </c>
      <c r="C16" s="1278" t="s">
        <v>887</v>
      </c>
      <c r="D16" s="1340"/>
      <c r="E16" s="1340"/>
      <c r="F16" s="1340"/>
      <c r="G16" s="1340"/>
      <c r="H16" s="1340"/>
      <c r="I16" s="1340"/>
      <c r="J16" s="1340"/>
      <c r="K16" s="1340"/>
      <c r="L16" s="1345"/>
      <c r="M16" s="244"/>
      <c r="N16" s="244"/>
      <c r="O16" s="244"/>
    </row>
    <row r="17" spans="2:15" s="243" customFormat="1" ht="15" customHeight="1">
      <c r="B17" s="1688" t="s">
        <v>888</v>
      </c>
      <c r="C17" s="1278" t="s">
        <v>889</v>
      </c>
      <c r="D17" s="1340"/>
      <c r="E17" s="1340"/>
      <c r="F17" s="1340"/>
      <c r="G17" s="1340"/>
      <c r="H17" s="1340"/>
      <c r="I17" s="1340"/>
      <c r="J17" s="1340"/>
      <c r="K17" s="1340"/>
      <c r="L17" s="1345"/>
      <c r="M17" s="244"/>
      <c r="N17" s="244"/>
      <c r="O17" s="244"/>
    </row>
    <row r="18" spans="2:15" s="243" customFormat="1" ht="15" customHeight="1">
      <c r="B18" s="1689" t="s">
        <v>890</v>
      </c>
      <c r="C18" s="1280" t="s">
        <v>891</v>
      </c>
      <c r="D18" s="1340"/>
      <c r="E18" s="1340"/>
      <c r="F18" s="1340"/>
      <c r="G18" s="1340"/>
      <c r="H18" s="1340"/>
      <c r="I18" s="1340"/>
      <c r="J18" s="1340"/>
      <c r="K18" s="1340"/>
      <c r="L18" s="1345"/>
      <c r="M18" s="244"/>
      <c r="N18" s="244"/>
      <c r="O18" s="244"/>
    </row>
    <row r="19" spans="2:15" s="243" customFormat="1" ht="15" customHeight="1">
      <c r="B19" s="1690" t="s">
        <v>892</v>
      </c>
      <c r="C19" s="1691" t="s">
        <v>893</v>
      </c>
      <c r="D19" s="1282"/>
      <c r="E19" s="1282"/>
      <c r="F19" s="1282">
        <f>'CONT EXECUTIE   (2)'!E23</f>
        <v>0</v>
      </c>
      <c r="G19" s="1282">
        <f>'CONT EXECUTIE   (2)'!F23</f>
        <v>0</v>
      </c>
      <c r="H19" s="1282"/>
      <c r="I19" s="1282"/>
      <c r="J19" s="1282"/>
      <c r="K19" s="1282"/>
      <c r="L19" s="1363"/>
      <c r="M19" s="244"/>
      <c r="N19" s="244"/>
      <c r="O19" s="244"/>
    </row>
    <row r="20" spans="2:15" s="243" customFormat="1" ht="15" customHeight="1">
      <c r="B20" s="1673"/>
      <c r="C20" s="1674"/>
      <c r="D20" s="1675"/>
      <c r="E20" s="1675"/>
      <c r="F20" s="1675"/>
      <c r="G20" s="1675"/>
      <c r="H20" s="1675"/>
      <c r="I20" s="1675"/>
      <c r="J20" s="1675"/>
      <c r="K20" s="1675"/>
      <c r="L20" s="1675"/>
      <c r="M20" s="244"/>
      <c r="N20" s="244"/>
      <c r="O20" s="244"/>
    </row>
    <row r="21" spans="2:15" s="239" customFormat="1" ht="12.75" customHeight="1">
      <c r="B21" s="237"/>
      <c r="C21" s="238"/>
      <c r="D21" s="237"/>
      <c r="E21" s="237"/>
      <c r="F21" s="247"/>
      <c r="G21" s="247"/>
      <c r="H21" s="248"/>
      <c r="I21" s="249"/>
      <c r="J21" s="247"/>
      <c r="K21" s="249"/>
      <c r="L21" s="249"/>
      <c r="M21" s="250"/>
      <c r="N21" s="250"/>
      <c r="O21" s="250"/>
    </row>
    <row r="22" spans="2:15" ht="15.75">
      <c r="B22" s="251"/>
      <c r="C22" s="251"/>
      <c r="D22" s="251"/>
      <c r="E22" s="251"/>
      <c r="F22" s="251"/>
      <c r="J22" s="252"/>
      <c r="K22" s="253"/>
      <c r="L22" s="254"/>
      <c r="M22" s="255"/>
      <c r="N22" s="256"/>
      <c r="O22" s="255"/>
    </row>
    <row r="23" spans="2:15" ht="15.75" customHeight="1">
      <c r="B23" s="3984" t="str">
        <f>'ANEXA 1'!B94</f>
        <v>DIRECTOR  GENERAL,</v>
      </c>
      <c r="C23" s="3984"/>
      <c r="D23" s="3984"/>
      <c r="E23" s="1270"/>
      <c r="F23" s="257"/>
      <c r="H23" s="3984" t="str">
        <f>'ANEXA 1'!D94</f>
        <v>DIRECTOR  EXECUTIV  ECONOMIC,</v>
      </c>
      <c r="I23" s="3984"/>
      <c r="J23" s="3984"/>
      <c r="K23" s="258"/>
      <c r="L23" s="258"/>
      <c r="M23" s="255"/>
      <c r="N23" s="256"/>
      <c r="O23" s="255"/>
    </row>
    <row r="24" spans="2:15" ht="15.75">
      <c r="H24" s="1872"/>
      <c r="I24" s="1872"/>
      <c r="J24" s="1872"/>
    </row>
    <row r="25" spans="2:15" ht="15.75">
      <c r="B25" s="4118" t="str">
        <f>'ANEXA 1'!B96</f>
        <v>EC.ALBU DRINA</v>
      </c>
      <c r="C25" s="4118"/>
      <c r="D25" s="4118"/>
      <c r="E25" s="1272"/>
      <c r="H25" s="4134" t="str">
        <f>'ANEXA 1'!D96</f>
        <v>EC.BIRCU FLORINA</v>
      </c>
      <c r="I25" s="4134"/>
      <c r="J25" s="4134"/>
    </row>
    <row r="26" spans="2:15">
      <c r="B26" s="4119">
        <f>'ANEXA 1'!B97</f>
        <v>0</v>
      </c>
      <c r="C26" s="4119"/>
      <c r="D26" s="4119"/>
      <c r="E26" s="1271"/>
    </row>
    <row r="28" spans="2:15">
      <c r="K28" s="1054"/>
    </row>
    <row r="29" spans="2:15">
      <c r="B29" s="4006">
        <f>+'ANEXA 1'!B99</f>
        <v>0</v>
      </c>
      <c r="C29" s="4006"/>
      <c r="D29" s="4006"/>
      <c r="H29" s="4135">
        <f>'ANEXA 1'!D99</f>
        <v>0</v>
      </c>
      <c r="I29" s="4135"/>
      <c r="J29" s="4135"/>
    </row>
    <row r="30" spans="2:15">
      <c r="B30" s="240"/>
      <c r="C30" s="240"/>
      <c r="D30" s="240"/>
      <c r="K30" s="1059"/>
    </row>
    <row r="31" spans="2:15">
      <c r="B31" s="4006">
        <f>+'ANEXA 1'!B101</f>
        <v>0</v>
      </c>
      <c r="C31" s="4006"/>
      <c r="D31" s="4006"/>
      <c r="H31" s="4135">
        <f>'ANEXA 1'!D101</f>
        <v>0</v>
      </c>
      <c r="I31" s="4135"/>
      <c r="J31" s="4135"/>
    </row>
  </sheetData>
  <sheetProtection password="CFDD" sheet="1" objects="1" scenarios="1"/>
  <mergeCells count="21">
    <mergeCell ref="B23:D23"/>
    <mergeCell ref="H23:J23"/>
    <mergeCell ref="B1:H1"/>
    <mergeCell ref="B2:L2"/>
    <mergeCell ref="B3:L3"/>
    <mergeCell ref="B5:B6"/>
    <mergeCell ref="C5:C6"/>
    <mergeCell ref="F5:G5"/>
    <mergeCell ref="H5:H6"/>
    <mergeCell ref="I5:I6"/>
    <mergeCell ref="J5:J6"/>
    <mergeCell ref="K5:K6"/>
    <mergeCell ref="L5:L6"/>
    <mergeCell ref="D5:E5"/>
    <mergeCell ref="B25:D25"/>
    <mergeCell ref="H25:J25"/>
    <mergeCell ref="B26:D26"/>
    <mergeCell ref="H29:J29"/>
    <mergeCell ref="H31:J31"/>
    <mergeCell ref="B29:D29"/>
    <mergeCell ref="B31:D31"/>
  </mergeCells>
  <dataValidations count="1">
    <dataValidation allowBlank="1" showErrorMessage="1" sqref="D8:L20"/>
  </dataValidations>
  <pageMargins left="0.43307086614173229" right="0.19685039370078741" top="0" bottom="0.11811023622047245" header="0.51181102362204722" footer="0.11811023622047245"/>
  <pageSetup paperSize="9" scale="78" firstPageNumber="0" orientation="landscape" horizontalDpi="300" verticalDpi="300" r:id="rId1"/>
  <headerFooter alignWithMargins="0">
    <oddFooter>&amp;C&amp;A&amp;RPagina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1">
    <tabColor rgb="FFF2DCDB"/>
  </sheetPr>
  <dimension ref="A1:W119"/>
  <sheetViews>
    <sheetView showZeros="0" topLeftCell="A85" zoomScaleNormal="100" workbookViewId="0">
      <selection sqref="A1:G1"/>
    </sheetView>
  </sheetViews>
  <sheetFormatPr defaultColWidth="9.140625" defaultRowHeight="12.75"/>
  <cols>
    <col min="1" max="1" width="30.42578125" style="13" customWidth="1"/>
    <col min="2" max="2" width="11.5703125" style="259" customWidth="1"/>
    <col min="3" max="4" width="16.85546875" style="13" customWidth="1"/>
    <col min="5" max="5" width="16" style="13" customWidth="1"/>
    <col min="6" max="6" width="15.5703125" style="13" customWidth="1"/>
    <col min="7" max="7" width="15.85546875" style="13" customWidth="1"/>
    <col min="8" max="8" width="16.42578125" style="13" customWidth="1"/>
    <col min="9" max="9" width="16.5703125" style="13" customWidth="1"/>
    <col min="10" max="11" width="15.42578125" style="13" customWidth="1"/>
    <col min="12" max="23" width="9.140625" style="260"/>
    <col min="24" max="16384" width="9.140625" style="13"/>
  </cols>
  <sheetData>
    <row r="1" spans="1:23" ht="27.75" customHeight="1">
      <c r="A1" s="3989" t="str">
        <f>'ANEXA 1'!A1</f>
        <v>CASA  DE  ASIGURĂRI  DE  SĂNĂTATE MEHEDINTI</v>
      </c>
      <c r="B1" s="3989"/>
      <c r="C1" s="3989"/>
      <c r="D1" s="3989"/>
      <c r="E1" s="3989"/>
      <c r="F1" s="3989"/>
      <c r="G1" s="3989"/>
      <c r="H1" s="261"/>
      <c r="K1" s="17" t="s">
        <v>894</v>
      </c>
    </row>
    <row r="2" spans="1:23" ht="21" customHeight="1">
      <c r="A2" s="3984" t="s">
        <v>895</v>
      </c>
      <c r="B2" s="3984"/>
      <c r="C2" s="3984"/>
      <c r="D2" s="3984"/>
      <c r="E2" s="3984"/>
      <c r="F2" s="3984"/>
      <c r="G2" s="3984"/>
      <c r="H2" s="3984"/>
      <c r="I2" s="3984"/>
      <c r="J2" s="3984"/>
      <c r="K2" s="3984"/>
    </row>
    <row r="3" spans="1:23" ht="19.5" customHeight="1">
      <c r="A3" s="3984" t="str">
        <f>'ANEXA 1'!A12</f>
        <v>la  data  de  30  IUNIE  2023</v>
      </c>
      <c r="B3" s="3984"/>
      <c r="C3" s="3984"/>
      <c r="D3" s="3984"/>
      <c r="E3" s="3984"/>
      <c r="F3" s="3984"/>
      <c r="G3" s="3984"/>
      <c r="H3" s="3984"/>
      <c r="I3" s="3984"/>
      <c r="J3" s="3984"/>
      <c r="K3" s="3984"/>
    </row>
    <row r="4" spans="1:23" s="265" customFormat="1" ht="14.25">
      <c r="A4" s="262" t="s">
        <v>896</v>
      </c>
      <c r="B4" s="263"/>
      <c r="C4" s="262"/>
      <c r="D4" s="262"/>
      <c r="E4" s="264"/>
      <c r="F4" s="264"/>
      <c r="G4" s="264"/>
      <c r="H4" s="264"/>
      <c r="I4" s="264"/>
      <c r="J4" s="264"/>
      <c r="K4" s="1326" t="s">
        <v>1031</v>
      </c>
      <c r="L4" s="260"/>
      <c r="M4" s="260"/>
      <c r="N4" s="260"/>
      <c r="O4" s="260"/>
      <c r="P4" s="260"/>
      <c r="Q4" s="260"/>
      <c r="R4" s="260"/>
      <c r="S4" s="260"/>
      <c r="T4" s="260"/>
      <c r="U4" s="260"/>
      <c r="V4" s="260"/>
      <c r="W4" s="260"/>
    </row>
    <row r="5" spans="1:23" s="265" customFormat="1" ht="30" customHeight="1">
      <c r="A5" s="4151" t="s">
        <v>897</v>
      </c>
      <c r="B5" s="4153" t="s">
        <v>686</v>
      </c>
      <c r="C5" s="4153" t="s">
        <v>809</v>
      </c>
      <c r="D5" s="4153"/>
      <c r="E5" s="4153" t="s">
        <v>810</v>
      </c>
      <c r="F5" s="4153"/>
      <c r="G5" s="4155" t="s">
        <v>811</v>
      </c>
      <c r="H5" s="4155" t="s">
        <v>812</v>
      </c>
      <c r="I5" s="4155" t="s">
        <v>898</v>
      </c>
      <c r="J5" s="4155" t="s">
        <v>899</v>
      </c>
      <c r="K5" s="4157" t="s">
        <v>815</v>
      </c>
      <c r="L5" s="260"/>
      <c r="M5" s="260"/>
      <c r="N5" s="260"/>
      <c r="O5" s="260"/>
      <c r="P5" s="260"/>
      <c r="Q5" s="260"/>
      <c r="R5" s="260"/>
      <c r="S5" s="260"/>
      <c r="T5" s="260"/>
      <c r="U5" s="260"/>
      <c r="V5" s="260"/>
      <c r="W5" s="260"/>
    </row>
    <row r="6" spans="1:23" s="265" customFormat="1" ht="59.25" customHeight="1">
      <c r="A6" s="4152"/>
      <c r="B6" s="4154"/>
      <c r="C6" s="3040" t="str">
        <f>'ANEXA 6'!D6</f>
        <v>anuale aprobate la finele perioadei de raportare</v>
      </c>
      <c r="D6" s="3040" t="str">
        <f>'ANEXA 6'!E6</f>
        <v>trimestriale cumulate</v>
      </c>
      <c r="E6" s="3040" t="str">
        <f>'ANEXA 6'!F6</f>
        <v>anuale aprobate la finele perioadei de raportare</v>
      </c>
      <c r="F6" s="3040" t="str">
        <f>'ANEXA 6'!G6</f>
        <v>trimestriale cumulate</v>
      </c>
      <c r="G6" s="4156"/>
      <c r="H6" s="4156"/>
      <c r="I6" s="4156"/>
      <c r="J6" s="4156"/>
      <c r="K6" s="4158"/>
      <c r="L6" s="260"/>
      <c r="M6" s="260"/>
      <c r="N6" s="260"/>
      <c r="O6" s="260"/>
      <c r="P6" s="260"/>
      <c r="Q6" s="260"/>
      <c r="R6" s="260"/>
      <c r="S6" s="260"/>
      <c r="T6" s="260"/>
      <c r="U6" s="260"/>
      <c r="V6" s="260"/>
      <c r="W6" s="260"/>
    </row>
    <row r="7" spans="1:23" s="265" customFormat="1">
      <c r="A7" s="3687" t="s">
        <v>92</v>
      </c>
      <c r="B7" s="3688" t="s">
        <v>93</v>
      </c>
      <c r="C7" s="3688">
        <v>1</v>
      </c>
      <c r="D7" s="3688">
        <v>2</v>
      </c>
      <c r="E7" s="3688">
        <v>3</v>
      </c>
      <c r="F7" s="3688">
        <v>4</v>
      </c>
      <c r="G7" s="3688">
        <v>5</v>
      </c>
      <c r="H7" s="3688">
        <v>6</v>
      </c>
      <c r="I7" s="3688">
        <v>7</v>
      </c>
      <c r="J7" s="3688" t="s">
        <v>2057</v>
      </c>
      <c r="K7" s="3689">
        <v>9</v>
      </c>
      <c r="L7" s="260"/>
      <c r="M7" s="260"/>
      <c r="N7" s="260"/>
      <c r="O7" s="260"/>
      <c r="P7" s="260"/>
      <c r="Q7" s="260"/>
      <c r="R7" s="260"/>
      <c r="S7" s="260"/>
      <c r="T7" s="260"/>
      <c r="U7" s="260"/>
      <c r="V7" s="260"/>
      <c r="W7" s="260"/>
    </row>
    <row r="8" spans="1:23" s="265" customFormat="1" ht="18" customHeight="1">
      <c r="A8" s="3690" t="s">
        <v>900</v>
      </c>
      <c r="B8" s="3685"/>
      <c r="C8" s="3686">
        <f>ROUND(C9+C80,1)</f>
        <v>422495530</v>
      </c>
      <c r="D8" s="3686">
        <f>ROUND(D9+D80,1)</f>
        <v>270100140</v>
      </c>
      <c r="E8" s="3686">
        <f>ROUND(E9+E80,1)</f>
        <v>393194970</v>
      </c>
      <c r="F8" s="3686">
        <f>ROUND(F9+F80,1)</f>
        <v>237850070</v>
      </c>
      <c r="G8" s="3686">
        <f>ROUND(G9+G80,1)+G88</f>
        <v>340885349</v>
      </c>
      <c r="H8" s="3686">
        <f>ROUND(H9+H80,1)+H88</f>
        <v>428477982</v>
      </c>
      <c r="I8" s="3686">
        <f>ROUND(I9+I80,1)+I88</f>
        <v>230195178</v>
      </c>
      <c r="J8" s="3686">
        <f>ROUND(J9+J80,1)</f>
        <v>198282804</v>
      </c>
      <c r="K8" s="3691">
        <f>ROUND(K9+K80,1)</f>
        <v>197258578</v>
      </c>
      <c r="L8" s="266"/>
      <c r="M8" s="260"/>
      <c r="N8" s="260"/>
      <c r="O8" s="260"/>
      <c r="P8" s="260"/>
      <c r="Q8" s="260"/>
      <c r="R8" s="260"/>
      <c r="S8" s="260"/>
      <c r="T8" s="260"/>
      <c r="U8" s="260"/>
      <c r="V8" s="260"/>
      <c r="W8" s="260"/>
    </row>
    <row r="9" spans="1:23" s="265" customFormat="1" ht="24">
      <c r="A9" s="3692" t="s">
        <v>901</v>
      </c>
      <c r="B9" s="3660" t="s">
        <v>96</v>
      </c>
      <c r="C9" s="3662">
        <f t="shared" ref="C9:K9" si="0">ROUND(C10+C30+C55+C58+C62+C74,1)</f>
        <v>421893530</v>
      </c>
      <c r="D9" s="3662">
        <f>ROUND(D10+D30+D55+D58+D62+D74,1)</f>
        <v>269798140</v>
      </c>
      <c r="E9" s="3662">
        <f t="shared" si="0"/>
        <v>392592970</v>
      </c>
      <c r="F9" s="3662">
        <f t="shared" si="0"/>
        <v>237548070</v>
      </c>
      <c r="G9" s="3662">
        <f t="shared" ref="G9:H9" si="1">ROUND(G10+G30+G55+G58+G62+G74,1)</f>
        <v>341026468</v>
      </c>
      <c r="H9" s="3662">
        <f t="shared" si="1"/>
        <v>428619101</v>
      </c>
      <c r="I9" s="3662">
        <f t="shared" si="0"/>
        <v>230336297</v>
      </c>
      <c r="J9" s="3662">
        <f t="shared" si="0"/>
        <v>198282804</v>
      </c>
      <c r="K9" s="3693">
        <f t="shared" si="0"/>
        <v>197232710</v>
      </c>
      <c r="L9" s="266"/>
      <c r="M9" s="260"/>
      <c r="N9" s="260"/>
      <c r="O9" s="260"/>
      <c r="P9" s="260"/>
      <c r="Q9" s="260"/>
      <c r="R9" s="260"/>
      <c r="S9" s="260"/>
      <c r="T9" s="260"/>
      <c r="U9" s="260"/>
      <c r="V9" s="260"/>
      <c r="W9" s="260"/>
    </row>
    <row r="10" spans="1:23" s="265" customFormat="1" ht="24">
      <c r="A10" s="3692" t="s">
        <v>902</v>
      </c>
      <c r="B10" s="3663">
        <v>10</v>
      </c>
      <c r="C10" s="3661">
        <f t="shared" ref="C10:K10" si="2">ROUND(C11+C22+C20,1)</f>
        <v>4930600</v>
      </c>
      <c r="D10" s="3661">
        <f>ROUND(D11+D22+D20,1)</f>
        <v>2510140</v>
      </c>
      <c r="E10" s="3661">
        <f t="shared" si="2"/>
        <v>4930600</v>
      </c>
      <c r="F10" s="3661">
        <f t="shared" si="2"/>
        <v>2510140</v>
      </c>
      <c r="G10" s="3661">
        <f t="shared" ref="G10:H10" si="3">ROUND(G11+G22+G20,1)</f>
        <v>4930600</v>
      </c>
      <c r="H10" s="3661">
        <f t="shared" si="3"/>
        <v>4930600</v>
      </c>
      <c r="I10" s="3661">
        <f t="shared" si="2"/>
        <v>2468566</v>
      </c>
      <c r="J10" s="3661">
        <f t="shared" si="2"/>
        <v>2462034</v>
      </c>
      <c r="K10" s="3694">
        <f t="shared" si="2"/>
        <v>2490913</v>
      </c>
      <c r="L10" s="266"/>
      <c r="M10" s="260"/>
      <c r="N10" s="260"/>
      <c r="O10" s="260"/>
      <c r="P10" s="260"/>
      <c r="Q10" s="260"/>
      <c r="R10" s="260"/>
      <c r="S10" s="260"/>
      <c r="T10" s="260"/>
      <c r="U10" s="260"/>
      <c r="V10" s="260"/>
      <c r="W10" s="260"/>
    </row>
    <row r="11" spans="1:23" s="265" customFormat="1" ht="24">
      <c r="A11" s="3692" t="s">
        <v>2058</v>
      </c>
      <c r="B11" s="3664" t="s">
        <v>862</v>
      </c>
      <c r="C11" s="3665">
        <f t="shared" ref="C11:K11" si="4">ROUND(SUM(C12:C19),1)</f>
        <v>4757000</v>
      </c>
      <c r="D11" s="3665">
        <f>ROUND(SUM(D12:D19),1)</f>
        <v>2389990</v>
      </c>
      <c r="E11" s="3665">
        <f t="shared" si="4"/>
        <v>4757000</v>
      </c>
      <c r="F11" s="3665">
        <f t="shared" si="4"/>
        <v>2389990</v>
      </c>
      <c r="G11" s="3665">
        <f t="shared" ref="G11:H11" si="5">ROUND(SUM(G12:G19),1)</f>
        <v>4757000</v>
      </c>
      <c r="H11" s="3665">
        <f t="shared" si="5"/>
        <v>4757000</v>
      </c>
      <c r="I11" s="3665">
        <f t="shared" si="4"/>
        <v>2350207</v>
      </c>
      <c r="J11" s="3665">
        <f t="shared" si="4"/>
        <v>2406793</v>
      </c>
      <c r="K11" s="3695">
        <f t="shared" si="4"/>
        <v>2372337</v>
      </c>
      <c r="L11" s="266"/>
      <c r="M11" s="260"/>
      <c r="N11" s="260"/>
      <c r="O11" s="260"/>
      <c r="P11" s="260"/>
      <c r="Q11" s="260"/>
      <c r="R11" s="260"/>
      <c r="S11" s="260"/>
      <c r="T11" s="260"/>
      <c r="U11" s="260"/>
      <c r="V11" s="260"/>
      <c r="W11" s="260"/>
    </row>
    <row r="12" spans="1:23" s="265" customFormat="1" ht="18" customHeight="1">
      <c r="A12" s="3696" t="s">
        <v>863</v>
      </c>
      <c r="B12" s="3666" t="s">
        <v>864</v>
      </c>
      <c r="C12" s="3667">
        <f>'CONT EXECUTIE  '!C37</f>
        <v>3835000</v>
      </c>
      <c r="D12" s="3667">
        <f>'CONT EXECUTIE  '!D37</f>
        <v>1899500</v>
      </c>
      <c r="E12" s="3667">
        <f>'CONT EXECUTIE  '!E37</f>
        <v>3835000</v>
      </c>
      <c r="F12" s="3667">
        <f>'CONT EXECUTIE  '!F37</f>
        <v>1899500</v>
      </c>
      <c r="G12" s="3667">
        <f>'CONT EXECUTIE  '!G37</f>
        <v>3835000</v>
      </c>
      <c r="H12" s="3667">
        <f>'CONT EXECUTIE  '!H37</f>
        <v>3835000</v>
      </c>
      <c r="I12" s="3667">
        <f>'CONT EXECUTIE  '!K37</f>
        <v>1880022</v>
      </c>
      <c r="J12" s="3667">
        <f t="shared" ref="J12:J21" si="6">H12-I12</f>
        <v>1954978</v>
      </c>
      <c r="K12" s="3697">
        <f>'CONT EXECUTIE  '!M37</f>
        <v>1915657</v>
      </c>
      <c r="L12" s="266"/>
      <c r="M12" s="260"/>
      <c r="N12" s="260"/>
      <c r="O12" s="260"/>
      <c r="P12" s="260"/>
      <c r="Q12" s="260"/>
      <c r="R12" s="260"/>
      <c r="S12" s="260"/>
      <c r="T12" s="260"/>
      <c r="U12" s="260"/>
      <c r="V12" s="260"/>
      <c r="W12" s="260"/>
    </row>
    <row r="13" spans="1:23" s="265" customFormat="1" ht="18" customHeight="1">
      <c r="A13" s="3696" t="s">
        <v>1849</v>
      </c>
      <c r="B13" s="3668" t="s">
        <v>1868</v>
      </c>
      <c r="C13" s="3667">
        <f>'CONT EXECUTIE  '!C38</f>
        <v>484000</v>
      </c>
      <c r="D13" s="3667">
        <f>'CONT EXECUTIE  '!D38</f>
        <v>248190</v>
      </c>
      <c r="E13" s="3667">
        <f>'CONT EXECUTIE  '!E38</f>
        <v>484000</v>
      </c>
      <c r="F13" s="3667">
        <f>'CONT EXECUTIE  '!F38</f>
        <v>248190</v>
      </c>
      <c r="G13" s="3667">
        <f>'CONT EXECUTIE  '!G38</f>
        <v>484000</v>
      </c>
      <c r="H13" s="3667">
        <f>'CONT EXECUTIE  '!H38</f>
        <v>484000</v>
      </c>
      <c r="I13" s="3667">
        <f>'CONT EXECUTIE  '!K38</f>
        <v>244624</v>
      </c>
      <c r="J13" s="3667">
        <f t="shared" si="6"/>
        <v>239376</v>
      </c>
      <c r="K13" s="3697">
        <f>'CONT EXECUTIE  '!M38</f>
        <v>242018</v>
      </c>
      <c r="L13" s="266"/>
      <c r="M13" s="260"/>
      <c r="N13" s="260"/>
      <c r="O13" s="260"/>
      <c r="P13" s="260"/>
      <c r="Q13" s="260"/>
      <c r="R13" s="260"/>
      <c r="S13" s="260"/>
      <c r="T13" s="260"/>
      <c r="U13" s="260"/>
      <c r="V13" s="260"/>
      <c r="W13" s="260"/>
    </row>
    <row r="14" spans="1:23" s="265" customFormat="1" ht="18" customHeight="1">
      <c r="A14" s="3698" t="s">
        <v>2052</v>
      </c>
      <c r="B14" s="3591" t="s">
        <v>2053</v>
      </c>
      <c r="C14" s="3667">
        <f>'CONT EXECUTIE  '!C39</f>
        <v>149000</v>
      </c>
      <c r="D14" s="3667">
        <f>'CONT EXECUTIE  '!D39</f>
        <v>82400</v>
      </c>
      <c r="E14" s="3667">
        <f>'CONT EXECUTIE  '!E39</f>
        <v>149000</v>
      </c>
      <c r="F14" s="3667">
        <f>'CONT EXECUTIE  '!F39</f>
        <v>82400</v>
      </c>
      <c r="G14" s="3667">
        <f>'CONT EXECUTIE  '!G39</f>
        <v>149000</v>
      </c>
      <c r="H14" s="3667">
        <f>'CONT EXECUTIE  '!H39</f>
        <v>149000</v>
      </c>
      <c r="I14" s="3667">
        <f>'CONT EXECUTIE  '!K39</f>
        <v>82214</v>
      </c>
      <c r="J14" s="3667">
        <f t="shared" si="6"/>
        <v>66786</v>
      </c>
      <c r="K14" s="3697">
        <f>'CONT EXECUTIE  '!M39</f>
        <v>82222</v>
      </c>
      <c r="L14" s="266"/>
      <c r="M14" s="260"/>
      <c r="N14" s="260"/>
      <c r="O14" s="260"/>
      <c r="P14" s="260"/>
      <c r="Q14" s="260"/>
      <c r="R14" s="260"/>
      <c r="S14" s="260"/>
      <c r="T14" s="260"/>
      <c r="U14" s="260"/>
      <c r="V14" s="260"/>
      <c r="W14" s="260"/>
    </row>
    <row r="15" spans="1:23" s="265" customFormat="1" ht="18" customHeight="1">
      <c r="A15" s="3696" t="s">
        <v>903</v>
      </c>
      <c r="B15" s="3666" t="s">
        <v>904</v>
      </c>
      <c r="C15" s="3667">
        <f>'CONT EXECUTIE  '!C40</f>
        <v>13000</v>
      </c>
      <c r="D15" s="3667">
        <f>'CONT EXECUTIE  '!D40</f>
        <v>7700</v>
      </c>
      <c r="E15" s="3667">
        <f>'CONT EXECUTIE  '!E40</f>
        <v>13000</v>
      </c>
      <c r="F15" s="3667">
        <f>'CONT EXECUTIE  '!F40</f>
        <v>7700</v>
      </c>
      <c r="G15" s="3667">
        <f>'CONT EXECUTIE  '!G40</f>
        <v>13000</v>
      </c>
      <c r="H15" s="3667">
        <f>'CONT EXECUTIE  '!H40</f>
        <v>13000</v>
      </c>
      <c r="I15" s="3667">
        <f>'CONT EXECUTIE  '!K40</f>
        <v>6956</v>
      </c>
      <c r="J15" s="3667">
        <f t="shared" si="6"/>
        <v>6044</v>
      </c>
      <c r="K15" s="3697">
        <f>'CONT EXECUTIE  '!M40</f>
        <v>6512</v>
      </c>
      <c r="L15" s="266"/>
      <c r="M15" s="260"/>
      <c r="N15" s="260"/>
      <c r="O15" s="260"/>
      <c r="P15" s="260"/>
      <c r="Q15" s="260"/>
      <c r="R15" s="260"/>
      <c r="S15" s="260"/>
      <c r="T15" s="260"/>
      <c r="U15" s="260"/>
      <c r="V15" s="260"/>
      <c r="W15" s="260"/>
    </row>
    <row r="16" spans="1:23" s="265" customFormat="1" ht="18" customHeight="1">
      <c r="A16" s="3699" t="s">
        <v>2097</v>
      </c>
      <c r="B16" s="3666" t="s">
        <v>865</v>
      </c>
      <c r="C16" s="3667">
        <f>'CONT EXECUTIE  '!C41</f>
        <v>1000</v>
      </c>
      <c r="D16" s="3667">
        <f>'CONT EXECUTIE  '!D41</f>
        <v>500</v>
      </c>
      <c r="E16" s="3667">
        <f>'CONT EXECUTIE  '!E41</f>
        <v>1000</v>
      </c>
      <c r="F16" s="3667">
        <f>'CONT EXECUTIE  '!F41</f>
        <v>500</v>
      </c>
      <c r="G16" s="3667">
        <f>'CONT EXECUTIE  '!G41</f>
        <v>1000</v>
      </c>
      <c r="H16" s="3667">
        <f>'CONT EXECUTIE  '!H41</f>
        <v>1000</v>
      </c>
      <c r="I16" s="3667">
        <f>'CONT EXECUTIE  '!K41</f>
        <v>0</v>
      </c>
      <c r="J16" s="3667">
        <f t="shared" si="6"/>
        <v>1000</v>
      </c>
      <c r="K16" s="3697">
        <f>'CONT EXECUTIE  '!M41</f>
        <v>0</v>
      </c>
      <c r="L16" s="266"/>
      <c r="M16" s="260"/>
      <c r="N16" s="260"/>
      <c r="O16" s="260"/>
      <c r="P16" s="260"/>
      <c r="Q16" s="260"/>
      <c r="R16" s="260"/>
      <c r="S16" s="260"/>
      <c r="T16" s="260"/>
      <c r="U16" s="260"/>
      <c r="V16" s="260"/>
      <c r="W16" s="260"/>
    </row>
    <row r="17" spans="1:23" s="265" customFormat="1" ht="18" customHeight="1">
      <c r="A17" s="3700" t="s">
        <v>905</v>
      </c>
      <c r="B17" s="3666" t="s">
        <v>906</v>
      </c>
      <c r="C17" s="3667">
        <f>'CONT EXECUTIE  '!C42</f>
        <v>0</v>
      </c>
      <c r="D17" s="3667">
        <f>'CONT EXECUTIE  '!D42</f>
        <v>0</v>
      </c>
      <c r="E17" s="3667">
        <f>'CONT EXECUTIE  '!E42</f>
        <v>0</v>
      </c>
      <c r="F17" s="3667">
        <f>'CONT EXECUTIE  '!F42</f>
        <v>0</v>
      </c>
      <c r="G17" s="3667">
        <f>'CONT EXECUTIE  '!G42</f>
        <v>0</v>
      </c>
      <c r="H17" s="3667">
        <f>'CONT EXECUTIE  '!H42</f>
        <v>0</v>
      </c>
      <c r="I17" s="3667">
        <f>'CONT EXECUTIE  '!K42</f>
        <v>0</v>
      </c>
      <c r="J17" s="3667">
        <f t="shared" si="6"/>
        <v>0</v>
      </c>
      <c r="K17" s="3697">
        <f>'CONT EXECUTIE  '!M42</f>
        <v>0</v>
      </c>
      <c r="L17" s="266"/>
      <c r="M17" s="260"/>
      <c r="N17" s="260"/>
      <c r="O17" s="260"/>
      <c r="P17" s="260"/>
      <c r="Q17" s="260"/>
      <c r="R17" s="260"/>
      <c r="S17" s="260"/>
      <c r="T17" s="260"/>
      <c r="U17" s="260"/>
      <c r="V17" s="260"/>
      <c r="W17" s="260"/>
    </row>
    <row r="18" spans="1:23" s="265" customFormat="1" ht="18" customHeight="1">
      <c r="A18" s="3700" t="s">
        <v>2091</v>
      </c>
      <c r="B18" s="3666" t="s">
        <v>2098</v>
      </c>
      <c r="C18" s="3667">
        <f>'CONT EXECUTIE  '!C43</f>
        <v>164000</v>
      </c>
      <c r="D18" s="3667">
        <f>'CONT EXECUTIE  '!D43</f>
        <v>87600</v>
      </c>
      <c r="E18" s="3667">
        <f>'CONT EXECUTIE  '!E43</f>
        <v>164000</v>
      </c>
      <c r="F18" s="3667">
        <f>'CONT EXECUTIE  '!F43</f>
        <v>87600</v>
      </c>
      <c r="G18" s="3667">
        <f>'CONT EXECUTIE  '!G43</f>
        <v>164000</v>
      </c>
      <c r="H18" s="3667">
        <f>'CONT EXECUTIE  '!H43</f>
        <v>164000</v>
      </c>
      <c r="I18" s="3667">
        <f>'CONT EXECUTIE  '!K43</f>
        <v>82944</v>
      </c>
      <c r="J18" s="3667">
        <f t="shared" ref="J18" si="7">H18-I18</f>
        <v>81056</v>
      </c>
      <c r="K18" s="3697">
        <f>'CONT EXECUTIE  '!M43</f>
        <v>81766</v>
      </c>
      <c r="L18" s="266"/>
      <c r="M18" s="260"/>
      <c r="N18" s="260"/>
      <c r="O18" s="260"/>
      <c r="P18" s="260"/>
      <c r="Q18" s="260"/>
      <c r="R18" s="260"/>
      <c r="S18" s="260"/>
      <c r="T18" s="260"/>
      <c r="U18" s="260"/>
      <c r="V18" s="260"/>
      <c r="W18" s="260"/>
    </row>
    <row r="19" spans="1:23" s="265" customFormat="1" ht="18" customHeight="1">
      <c r="A19" s="3696" t="s">
        <v>907</v>
      </c>
      <c r="B19" s="3666" t="s">
        <v>908</v>
      </c>
      <c r="C19" s="3667">
        <f>'CONT EXECUTIE  '!C44</f>
        <v>111000</v>
      </c>
      <c r="D19" s="3667">
        <f>'CONT EXECUTIE  '!D44</f>
        <v>64100</v>
      </c>
      <c r="E19" s="3667">
        <f>'CONT EXECUTIE  '!E44</f>
        <v>111000</v>
      </c>
      <c r="F19" s="3667">
        <f>'CONT EXECUTIE  '!F44</f>
        <v>64100</v>
      </c>
      <c r="G19" s="3667">
        <f>'CONT EXECUTIE  '!G44</f>
        <v>111000</v>
      </c>
      <c r="H19" s="3667">
        <f>'CONT EXECUTIE  '!H44</f>
        <v>111000</v>
      </c>
      <c r="I19" s="3667">
        <f>'CONT EXECUTIE  '!K44</f>
        <v>53447</v>
      </c>
      <c r="J19" s="3667">
        <f t="shared" si="6"/>
        <v>57553</v>
      </c>
      <c r="K19" s="3697">
        <f>'CONT EXECUTIE  '!M44</f>
        <v>44162</v>
      </c>
      <c r="L19" s="266"/>
      <c r="M19" s="260"/>
      <c r="N19" s="260"/>
      <c r="O19" s="260"/>
      <c r="P19" s="260"/>
      <c r="Q19" s="260"/>
      <c r="R19" s="260"/>
      <c r="S19" s="260"/>
      <c r="T19" s="260"/>
      <c r="U19" s="260"/>
      <c r="V19" s="260"/>
      <c r="W19" s="260"/>
    </row>
    <row r="20" spans="1:23" s="265" customFormat="1" ht="18" customHeight="1">
      <c r="A20" s="3692" t="s">
        <v>1852</v>
      </c>
      <c r="B20" s="3669" t="s">
        <v>1867</v>
      </c>
      <c r="C20" s="3665">
        <f>'CONT EXECUTIE  '!C46</f>
        <v>64000</v>
      </c>
      <c r="D20" s="3665">
        <f>'CONT EXECUTIE  '!D46</f>
        <v>64000</v>
      </c>
      <c r="E20" s="3665">
        <f>'CONT EXECUTIE  '!E46</f>
        <v>64000</v>
      </c>
      <c r="F20" s="3665">
        <f>'CONT EXECUTIE  '!F46</f>
        <v>64000</v>
      </c>
      <c r="G20" s="3665">
        <f>'CONT EXECUTIE  '!G46</f>
        <v>64000</v>
      </c>
      <c r="H20" s="3665">
        <f>'CONT EXECUTIE  '!H46</f>
        <v>64000</v>
      </c>
      <c r="I20" s="3665">
        <f>'CONT EXECUTIE  '!K46</f>
        <v>63800</v>
      </c>
      <c r="J20" s="3665">
        <f>H20-I20</f>
        <v>200</v>
      </c>
      <c r="K20" s="3695">
        <f>'CONT EXECUTIE  '!M46</f>
        <v>63800</v>
      </c>
      <c r="L20" s="266"/>
      <c r="M20" s="260"/>
      <c r="N20" s="260"/>
      <c r="O20" s="260"/>
      <c r="P20" s="260"/>
      <c r="Q20" s="260"/>
      <c r="R20" s="260"/>
      <c r="S20" s="260"/>
      <c r="T20" s="260"/>
      <c r="U20" s="260"/>
      <c r="V20" s="260"/>
      <c r="W20" s="260"/>
    </row>
    <row r="21" spans="1:23" s="265" customFormat="1" ht="18" customHeight="1">
      <c r="A21" s="3696" t="s">
        <v>1853</v>
      </c>
      <c r="B21" s="3668" t="s">
        <v>1866</v>
      </c>
      <c r="C21" s="3667">
        <f>'CONT EXECUTIE  '!C47</f>
        <v>64000</v>
      </c>
      <c r="D21" s="3667">
        <f>'CONT EXECUTIE  '!D47</f>
        <v>64000</v>
      </c>
      <c r="E21" s="3667">
        <f>'CONT EXECUTIE  '!E47</f>
        <v>64000</v>
      </c>
      <c r="F21" s="3667">
        <f>'CONT EXECUTIE  '!F47</f>
        <v>64000</v>
      </c>
      <c r="G21" s="3667">
        <f>'CONT EXECUTIE  '!G47</f>
        <v>64000</v>
      </c>
      <c r="H21" s="3667">
        <f>'CONT EXECUTIE  '!H47</f>
        <v>64000</v>
      </c>
      <c r="I21" s="3667">
        <f>'CONT EXECUTIE  '!K47</f>
        <v>63800</v>
      </c>
      <c r="J21" s="3667">
        <f t="shared" si="6"/>
        <v>200</v>
      </c>
      <c r="K21" s="3697">
        <f>'CONT EXECUTIE  '!M47</f>
        <v>63800</v>
      </c>
      <c r="L21" s="266"/>
      <c r="M21" s="260"/>
      <c r="N21" s="260"/>
      <c r="O21" s="260"/>
      <c r="P21" s="260"/>
      <c r="Q21" s="260"/>
      <c r="R21" s="260"/>
      <c r="S21" s="260"/>
      <c r="T21" s="260"/>
      <c r="U21" s="260"/>
      <c r="V21" s="260"/>
      <c r="W21" s="260"/>
    </row>
    <row r="22" spans="1:23" s="265" customFormat="1" ht="18" customHeight="1">
      <c r="A22" s="3692" t="s">
        <v>909</v>
      </c>
      <c r="B22" s="3670" t="s">
        <v>910</v>
      </c>
      <c r="C22" s="3671">
        <f t="shared" ref="C22:K22" si="8">ROUND(SUM(C23:C29),1)</f>
        <v>109600</v>
      </c>
      <c r="D22" s="3671">
        <f>ROUND(SUM(D23:D29),1)</f>
        <v>56150</v>
      </c>
      <c r="E22" s="3665">
        <f t="shared" si="8"/>
        <v>109600</v>
      </c>
      <c r="F22" s="3665">
        <f t="shared" si="8"/>
        <v>56150</v>
      </c>
      <c r="G22" s="3665">
        <f t="shared" ref="G22:H22" si="9">ROUND(SUM(G23:G29),1)</f>
        <v>109600</v>
      </c>
      <c r="H22" s="3665">
        <f t="shared" si="9"/>
        <v>109600</v>
      </c>
      <c r="I22" s="3665">
        <f t="shared" si="8"/>
        <v>54559</v>
      </c>
      <c r="J22" s="3665">
        <f t="shared" si="8"/>
        <v>55041</v>
      </c>
      <c r="K22" s="3695">
        <f t="shared" si="8"/>
        <v>54776</v>
      </c>
      <c r="L22" s="266"/>
      <c r="M22" s="260"/>
      <c r="N22" s="260"/>
      <c r="O22" s="260"/>
      <c r="P22" s="260"/>
      <c r="Q22" s="260"/>
      <c r="R22" s="260"/>
      <c r="S22" s="260"/>
      <c r="T22" s="260"/>
      <c r="U22" s="260"/>
      <c r="V22" s="260"/>
      <c r="W22" s="260"/>
    </row>
    <row r="23" spans="1:23" s="265" customFormat="1" ht="18" customHeight="1">
      <c r="A23" s="3701" t="s">
        <v>911</v>
      </c>
      <c r="B23" s="3666" t="s">
        <v>912</v>
      </c>
      <c r="C23" s="3672">
        <f>'CONT EXECUTIE  '!C49</f>
        <v>1550</v>
      </c>
      <c r="D23" s="3672">
        <f>'CONT EXECUTIE  '!D49</f>
        <v>1550</v>
      </c>
      <c r="E23" s="3667">
        <f>'CONT EXECUTIE  '!E49</f>
        <v>1550</v>
      </c>
      <c r="F23" s="3667">
        <f>'CONT EXECUTIE  '!F49</f>
        <v>1550</v>
      </c>
      <c r="G23" s="3667">
        <f>'CONT EXECUTIE  '!G49</f>
        <v>1550</v>
      </c>
      <c r="H23" s="3667">
        <f>'CONT EXECUTIE  '!H49</f>
        <v>1550</v>
      </c>
      <c r="I23" s="3667">
        <f>'CONT EXECUTIE  '!K49</f>
        <v>1096</v>
      </c>
      <c r="J23" s="3667">
        <f t="shared" ref="J23:J29" si="10">H23-I23</f>
        <v>454</v>
      </c>
      <c r="K23" s="3697">
        <f>'CONT EXECUTIE  '!M49</f>
        <v>1096</v>
      </c>
      <c r="L23" s="266"/>
      <c r="M23" s="260"/>
      <c r="N23" s="260"/>
      <c r="O23" s="260"/>
      <c r="P23" s="260"/>
      <c r="Q23" s="260"/>
      <c r="R23" s="260"/>
      <c r="S23" s="260"/>
      <c r="T23" s="260"/>
      <c r="U23" s="260"/>
      <c r="V23" s="260"/>
      <c r="W23" s="260"/>
    </row>
    <row r="24" spans="1:23" s="265" customFormat="1" ht="18" customHeight="1">
      <c r="A24" s="3701" t="s">
        <v>913</v>
      </c>
      <c r="B24" s="3666" t="s">
        <v>914</v>
      </c>
      <c r="C24" s="3672">
        <f>'CONT EXECUTIE  '!C50</f>
        <v>50</v>
      </c>
      <c r="D24" s="3672">
        <f>'CONT EXECUTIE  '!D50</f>
        <v>50</v>
      </c>
      <c r="E24" s="3667">
        <f>'CONT EXECUTIE  '!E50</f>
        <v>50</v>
      </c>
      <c r="F24" s="3667">
        <f>'CONT EXECUTIE  '!F50</f>
        <v>50</v>
      </c>
      <c r="G24" s="3667">
        <f>'CONT EXECUTIE  '!G50</f>
        <v>50</v>
      </c>
      <c r="H24" s="3667">
        <f>'CONT EXECUTIE  '!H50</f>
        <v>50</v>
      </c>
      <c r="I24" s="3667">
        <f>'CONT EXECUTIE  '!K50</f>
        <v>35</v>
      </c>
      <c r="J24" s="3667">
        <f t="shared" si="10"/>
        <v>15</v>
      </c>
      <c r="K24" s="3697">
        <f>'CONT EXECUTIE  '!M50</f>
        <v>35</v>
      </c>
      <c r="L24" s="266"/>
      <c r="M24" s="260"/>
      <c r="N24" s="260"/>
      <c r="O24" s="260"/>
      <c r="P24" s="260"/>
      <c r="Q24" s="260"/>
      <c r="R24" s="260"/>
      <c r="S24" s="260"/>
      <c r="T24" s="260"/>
      <c r="U24" s="260"/>
      <c r="V24" s="260"/>
      <c r="W24" s="260"/>
    </row>
    <row r="25" spans="1:23" s="265" customFormat="1" ht="24">
      <c r="A25" s="3701" t="s">
        <v>915</v>
      </c>
      <c r="B25" s="3666" t="s">
        <v>916</v>
      </c>
      <c r="C25" s="3672">
        <f>'CONT EXECUTIE  '!C51</f>
        <v>500</v>
      </c>
      <c r="D25" s="3672">
        <f>'CONT EXECUTIE  '!D51</f>
        <v>500</v>
      </c>
      <c r="E25" s="3667">
        <f>'CONT EXECUTIE  '!E51</f>
        <v>500</v>
      </c>
      <c r="F25" s="3667">
        <f>'CONT EXECUTIE  '!F51</f>
        <v>500</v>
      </c>
      <c r="G25" s="3667">
        <f>'CONT EXECUTIE  '!G51</f>
        <v>500</v>
      </c>
      <c r="H25" s="3667">
        <f>'CONT EXECUTIE  '!H51</f>
        <v>500</v>
      </c>
      <c r="I25" s="3667">
        <f>'CONT EXECUTIE  '!K51</f>
        <v>361</v>
      </c>
      <c r="J25" s="3667">
        <f t="shared" si="10"/>
        <v>139</v>
      </c>
      <c r="K25" s="3697">
        <f>'CONT EXECUTIE  '!M51</f>
        <v>361</v>
      </c>
      <c r="L25" s="266"/>
      <c r="M25" s="260"/>
      <c r="N25" s="260"/>
      <c r="O25" s="260"/>
      <c r="P25" s="260"/>
      <c r="Q25" s="260"/>
      <c r="R25" s="260"/>
      <c r="S25" s="260"/>
      <c r="T25" s="260"/>
      <c r="U25" s="260"/>
      <c r="V25" s="260"/>
      <c r="W25" s="260"/>
    </row>
    <row r="26" spans="1:23" s="265" customFormat="1" ht="36">
      <c r="A26" s="3701" t="s">
        <v>917</v>
      </c>
      <c r="B26" s="3666" t="s">
        <v>918</v>
      </c>
      <c r="C26" s="3672">
        <f>'CONT EXECUTIE  '!C52</f>
        <v>50</v>
      </c>
      <c r="D26" s="3672">
        <f>'CONT EXECUTIE  '!D52</f>
        <v>50</v>
      </c>
      <c r="E26" s="3667">
        <f>'CONT EXECUTIE  '!E52</f>
        <v>50</v>
      </c>
      <c r="F26" s="3667">
        <f>'CONT EXECUTIE  '!F52</f>
        <v>50</v>
      </c>
      <c r="G26" s="3667">
        <f>'CONT EXECUTIE  '!G52</f>
        <v>50</v>
      </c>
      <c r="H26" s="3667">
        <f>'CONT EXECUTIE  '!H52</f>
        <v>50</v>
      </c>
      <c r="I26" s="3667">
        <f>'CONT EXECUTIE  '!K52</f>
        <v>10</v>
      </c>
      <c r="J26" s="3667">
        <f t="shared" si="10"/>
        <v>40</v>
      </c>
      <c r="K26" s="3697">
        <f>'CONT EXECUTIE  '!M52</f>
        <v>10</v>
      </c>
      <c r="L26" s="266"/>
      <c r="M26" s="260"/>
      <c r="N26" s="260"/>
      <c r="O26" s="260"/>
      <c r="P26" s="260"/>
      <c r="Q26" s="260"/>
      <c r="R26" s="260"/>
      <c r="S26" s="260"/>
      <c r="T26" s="260"/>
      <c r="U26" s="260"/>
      <c r="V26" s="260"/>
      <c r="W26" s="260"/>
    </row>
    <row r="27" spans="1:23" s="265" customFormat="1" ht="18" customHeight="1">
      <c r="A27" s="3701" t="s">
        <v>919</v>
      </c>
      <c r="B27" s="3666" t="s">
        <v>920</v>
      </c>
      <c r="C27" s="3672">
        <f>'CONT EXECUTIE  '!C53</f>
        <v>100</v>
      </c>
      <c r="D27" s="3672">
        <f>'CONT EXECUTIE  '!D53</f>
        <v>100</v>
      </c>
      <c r="E27" s="3667">
        <f>'CONT EXECUTIE  '!E53</f>
        <v>100</v>
      </c>
      <c r="F27" s="3667">
        <f>'CONT EXECUTIE  '!F53</f>
        <v>100</v>
      </c>
      <c r="G27" s="3667">
        <f>'CONT EXECUTIE  '!G53</f>
        <v>100</v>
      </c>
      <c r="H27" s="3667">
        <f>'CONT EXECUTIE  '!H53</f>
        <v>100</v>
      </c>
      <c r="I27" s="3667">
        <f>'CONT EXECUTIE  '!K53</f>
        <v>59</v>
      </c>
      <c r="J27" s="3667">
        <f t="shared" si="10"/>
        <v>41</v>
      </c>
      <c r="K27" s="3697">
        <f>'CONT EXECUTIE  '!M53</f>
        <v>59</v>
      </c>
      <c r="L27" s="266"/>
      <c r="M27" s="260"/>
      <c r="N27" s="260"/>
      <c r="O27" s="260"/>
      <c r="P27" s="260"/>
      <c r="Q27" s="260"/>
      <c r="R27" s="260"/>
      <c r="S27" s="260"/>
      <c r="T27" s="260"/>
      <c r="U27" s="260"/>
      <c r="V27" s="260"/>
      <c r="W27" s="260"/>
    </row>
    <row r="28" spans="1:23" s="265" customFormat="1" ht="18" customHeight="1">
      <c r="A28" s="3701" t="s">
        <v>1856</v>
      </c>
      <c r="B28" s="3666" t="s">
        <v>1869</v>
      </c>
      <c r="C28" s="3672">
        <f>'CONT EXECUTIE  '!C54</f>
        <v>107350</v>
      </c>
      <c r="D28" s="3672">
        <f>'CONT EXECUTIE  '!D54</f>
        <v>53900</v>
      </c>
      <c r="E28" s="3667">
        <f>'CONT EXECUTIE  '!E54</f>
        <v>107350</v>
      </c>
      <c r="F28" s="3667">
        <f>'CONT EXECUTIE  '!F54</f>
        <v>53900</v>
      </c>
      <c r="G28" s="3667">
        <f>'CONT EXECUTIE  '!G54</f>
        <v>107350</v>
      </c>
      <c r="H28" s="3667">
        <f>'CONT EXECUTIE  '!H54</f>
        <v>107350</v>
      </c>
      <c r="I28" s="3667">
        <f>'CONT EXECUTIE  '!K54</f>
        <v>52998</v>
      </c>
      <c r="J28" s="3667">
        <f t="shared" si="10"/>
        <v>54352</v>
      </c>
      <c r="K28" s="3697">
        <f>'CONT EXECUTIE  '!M54</f>
        <v>53215</v>
      </c>
      <c r="L28" s="266"/>
      <c r="M28" s="260"/>
      <c r="N28" s="260"/>
      <c r="O28" s="260"/>
      <c r="P28" s="260"/>
      <c r="Q28" s="260"/>
      <c r="R28" s="260"/>
      <c r="S28" s="260"/>
      <c r="T28" s="260"/>
      <c r="U28" s="260"/>
      <c r="V28" s="260"/>
      <c r="W28" s="260"/>
    </row>
    <row r="29" spans="1:23" s="265" customFormat="1" ht="24">
      <c r="A29" s="3701" t="s">
        <v>1857</v>
      </c>
      <c r="B29" s="3666" t="s">
        <v>1870</v>
      </c>
      <c r="C29" s="3672">
        <f>'CONT EXECUTIE  '!C56</f>
        <v>0</v>
      </c>
      <c r="D29" s="3672">
        <f>'CONT EXECUTIE  '!D56</f>
        <v>0</v>
      </c>
      <c r="E29" s="3667">
        <f>'CONT EXECUTIE  '!E56</f>
        <v>0</v>
      </c>
      <c r="F29" s="3667">
        <f>'CONT EXECUTIE  '!F56</f>
        <v>0</v>
      </c>
      <c r="G29" s="3667">
        <f>'CONT EXECUTIE  '!G56</f>
        <v>0</v>
      </c>
      <c r="H29" s="3667">
        <f>'CONT EXECUTIE  '!H56</f>
        <v>0</v>
      </c>
      <c r="I29" s="3667">
        <f>'CONT EXECUTIE  '!K56</f>
        <v>0</v>
      </c>
      <c r="J29" s="3667">
        <f t="shared" si="10"/>
        <v>0</v>
      </c>
      <c r="K29" s="3697">
        <f>'CONT EXECUTIE  '!M56</f>
        <v>0</v>
      </c>
      <c r="L29" s="266"/>
      <c r="M29" s="260"/>
      <c r="N29" s="260"/>
      <c r="O29" s="260"/>
      <c r="P29" s="260"/>
      <c r="Q29" s="260"/>
      <c r="R29" s="260"/>
      <c r="S29" s="260"/>
      <c r="T29" s="260"/>
      <c r="U29" s="260"/>
      <c r="V29" s="260"/>
      <c r="W29" s="260"/>
    </row>
    <row r="30" spans="1:23" s="269" customFormat="1" ht="24">
      <c r="A30" s="3702" t="s">
        <v>921</v>
      </c>
      <c r="B30" s="3673" t="s">
        <v>713</v>
      </c>
      <c r="C30" s="3060">
        <f t="shared" ref="C30:K30" si="11">ROUND(C31+C41+C42+C44+C47+C48+C49+C50+C51+C52,1)</f>
        <v>305203060</v>
      </c>
      <c r="D30" s="3060">
        <f t="shared" si="11"/>
        <v>200124580</v>
      </c>
      <c r="E30" s="3060">
        <f t="shared" si="11"/>
        <v>275902500</v>
      </c>
      <c r="F30" s="3060">
        <f t="shared" si="11"/>
        <v>167874510</v>
      </c>
      <c r="G30" s="3060">
        <f t="shared" ref="G30:H30" si="12">ROUND(G31+G41+G42+G44+G47+G48+G49+G50+G51+G52,1)</f>
        <v>275792078</v>
      </c>
      <c r="H30" s="3060">
        <f t="shared" si="12"/>
        <v>363384711</v>
      </c>
      <c r="I30" s="3060">
        <f t="shared" si="11"/>
        <v>167563941</v>
      </c>
      <c r="J30" s="3060">
        <f t="shared" si="11"/>
        <v>195820770</v>
      </c>
      <c r="K30" s="3068">
        <f t="shared" si="11"/>
        <v>134438007</v>
      </c>
      <c r="L30" s="267"/>
      <c r="M30" s="268"/>
      <c r="N30" s="268"/>
      <c r="O30" s="268"/>
      <c r="P30" s="268"/>
      <c r="Q30" s="268"/>
      <c r="R30" s="268"/>
      <c r="S30" s="268"/>
      <c r="T30" s="268"/>
      <c r="U30" s="268"/>
      <c r="V30" s="268"/>
      <c r="W30" s="268"/>
    </row>
    <row r="31" spans="1:23" s="265" customFormat="1" ht="24">
      <c r="A31" s="3703" t="s">
        <v>922</v>
      </c>
      <c r="B31" s="3664" t="s">
        <v>866</v>
      </c>
      <c r="C31" s="3671">
        <f t="shared" ref="C31:K31" si="13">ROUND(SUM(C32:C40),1)</f>
        <v>305109220</v>
      </c>
      <c r="D31" s="3671">
        <f>ROUND(SUM(D32:D40),1)</f>
        <v>200049410</v>
      </c>
      <c r="E31" s="3060">
        <f t="shared" si="13"/>
        <v>275808660</v>
      </c>
      <c r="F31" s="3665">
        <f t="shared" si="13"/>
        <v>167799340</v>
      </c>
      <c r="G31" s="3665">
        <f t="shared" ref="G31:H31" si="14">ROUND(SUM(G32:G40),1)</f>
        <v>275741317</v>
      </c>
      <c r="H31" s="3665">
        <f t="shared" si="14"/>
        <v>363333950</v>
      </c>
      <c r="I31" s="3665">
        <f t="shared" si="13"/>
        <v>167525680</v>
      </c>
      <c r="J31" s="3665">
        <f t="shared" si="13"/>
        <v>195808270</v>
      </c>
      <c r="K31" s="3695">
        <f t="shared" si="13"/>
        <v>134408646</v>
      </c>
      <c r="L31" s="266"/>
      <c r="M31" s="260"/>
      <c r="N31" s="260"/>
      <c r="O31" s="260"/>
      <c r="P31" s="260"/>
      <c r="Q31" s="260"/>
      <c r="R31" s="260"/>
      <c r="S31" s="260"/>
      <c r="T31" s="260"/>
      <c r="U31" s="260"/>
      <c r="V31" s="260"/>
      <c r="W31" s="260"/>
    </row>
    <row r="32" spans="1:23" s="265" customFormat="1" ht="18" customHeight="1">
      <c r="A32" s="3701" t="s">
        <v>923</v>
      </c>
      <c r="B32" s="3666" t="s">
        <v>924</v>
      </c>
      <c r="C32" s="3672">
        <f>'CONT EXECUTIE  '!C59</f>
        <v>33000</v>
      </c>
      <c r="D32" s="3672">
        <f>'CONT EXECUTIE  '!D59</f>
        <v>13000</v>
      </c>
      <c r="E32" s="3667">
        <f>'CONT EXECUTIE  '!E59</f>
        <v>33000</v>
      </c>
      <c r="F32" s="3667">
        <f>'CONT EXECUTIE  '!F59</f>
        <v>13000</v>
      </c>
      <c r="G32" s="3667">
        <f>'CONT EXECUTIE  '!G59</f>
        <v>12869</v>
      </c>
      <c r="H32" s="3667">
        <f>'CONT EXECUTIE  '!H59</f>
        <v>12869</v>
      </c>
      <c r="I32" s="3667">
        <f>'CONT EXECUTIE  '!K59</f>
        <v>12869</v>
      </c>
      <c r="J32" s="3667">
        <f>H32-I32</f>
        <v>0</v>
      </c>
      <c r="K32" s="3697">
        <f>'CONT EXECUTIE  '!M59</f>
        <v>16917</v>
      </c>
      <c r="L32" s="266"/>
      <c r="M32" s="260"/>
      <c r="N32" s="260"/>
      <c r="O32" s="260"/>
      <c r="P32" s="260"/>
      <c r="Q32" s="260"/>
      <c r="R32" s="260"/>
      <c r="S32" s="260"/>
      <c r="T32" s="260"/>
      <c r="U32" s="260"/>
      <c r="V32" s="260"/>
      <c r="W32" s="260"/>
    </row>
    <row r="33" spans="1:23" s="265" customFormat="1" ht="18" customHeight="1">
      <c r="A33" s="3701" t="s">
        <v>925</v>
      </c>
      <c r="B33" s="3666" t="s">
        <v>926</v>
      </c>
      <c r="C33" s="3672">
        <f>'CONT EXECUTIE  '!C60</f>
        <v>24830</v>
      </c>
      <c r="D33" s="3672">
        <f>'CONT EXECUTIE  '!D60</f>
        <v>6500</v>
      </c>
      <c r="E33" s="3667">
        <f>'CONT EXECUTIE  '!E60</f>
        <v>24830</v>
      </c>
      <c r="F33" s="3667">
        <f>'CONT EXECUTIE  '!F60</f>
        <v>6500</v>
      </c>
      <c r="G33" s="3667">
        <f>'CONT EXECUTIE  '!G60</f>
        <v>3999</v>
      </c>
      <c r="H33" s="3667">
        <f>'CONT EXECUTIE  '!H60</f>
        <v>3999</v>
      </c>
      <c r="I33" s="3667">
        <f>'CONT EXECUTIE  '!K60</f>
        <v>3999</v>
      </c>
      <c r="J33" s="3667">
        <f>+H33-I33</f>
        <v>0</v>
      </c>
      <c r="K33" s="3697">
        <f>'CONT EXECUTIE  '!M60</f>
        <v>6136</v>
      </c>
      <c r="L33" s="266"/>
      <c r="M33" s="260"/>
      <c r="N33" s="260"/>
      <c r="O33" s="260"/>
      <c r="P33" s="260"/>
      <c r="Q33" s="260"/>
      <c r="R33" s="260"/>
      <c r="S33" s="260"/>
      <c r="T33" s="260"/>
      <c r="U33" s="260"/>
      <c r="V33" s="260"/>
      <c r="W33" s="260"/>
    </row>
    <row r="34" spans="1:23" s="265" customFormat="1" ht="18" customHeight="1">
      <c r="A34" s="3701" t="s">
        <v>927</v>
      </c>
      <c r="B34" s="3666" t="s">
        <v>928</v>
      </c>
      <c r="C34" s="3672">
        <f>'CONT EXECUTIE  '!C61</f>
        <v>179000</v>
      </c>
      <c r="D34" s="3672">
        <f>'CONT EXECUTIE  '!D61</f>
        <v>90000</v>
      </c>
      <c r="E34" s="3667">
        <f>'CONT EXECUTIE  '!E61</f>
        <v>179000</v>
      </c>
      <c r="F34" s="3667">
        <f>'CONT EXECUTIE  '!F61</f>
        <v>90000</v>
      </c>
      <c r="G34" s="3667">
        <f>'CONT EXECUTIE  '!G61</f>
        <v>179000</v>
      </c>
      <c r="H34" s="3667">
        <f>'CONT EXECUTIE  '!H61</f>
        <v>179000</v>
      </c>
      <c r="I34" s="3667">
        <f>'CONT EXECUTIE  '!K61</f>
        <v>68969</v>
      </c>
      <c r="J34" s="3667">
        <f t="shared" ref="J34:J41" si="15">H34-I34</f>
        <v>110031</v>
      </c>
      <c r="K34" s="3697">
        <f>'CONT EXECUTIE  '!M61</f>
        <v>69014</v>
      </c>
      <c r="L34" s="266"/>
      <c r="M34" s="260"/>
      <c r="N34" s="260"/>
      <c r="O34" s="260"/>
      <c r="P34" s="260"/>
      <c r="Q34" s="260"/>
      <c r="R34" s="260"/>
      <c r="S34" s="260"/>
      <c r="T34" s="260"/>
      <c r="U34" s="260"/>
      <c r="V34" s="260"/>
      <c r="W34" s="260"/>
    </row>
    <row r="35" spans="1:23" s="265" customFormat="1" ht="18" customHeight="1">
      <c r="A35" s="3701" t="s">
        <v>929</v>
      </c>
      <c r="B35" s="3666" t="s">
        <v>930</v>
      </c>
      <c r="C35" s="3672">
        <f>'CONT EXECUTIE  '!C62</f>
        <v>8000</v>
      </c>
      <c r="D35" s="3672">
        <f>'CONT EXECUTIE  '!D62</f>
        <v>5500</v>
      </c>
      <c r="E35" s="3667">
        <f>'CONT EXECUTIE  '!E62</f>
        <v>8000</v>
      </c>
      <c r="F35" s="3667">
        <f>'CONT EXECUTIE  '!F62</f>
        <v>5500</v>
      </c>
      <c r="G35" s="3667">
        <f>'CONT EXECUTIE  '!G62</f>
        <v>8000</v>
      </c>
      <c r="H35" s="3667">
        <f>'CONT EXECUTIE  '!H62</f>
        <v>8000</v>
      </c>
      <c r="I35" s="3667">
        <f>'CONT EXECUTIE  '!K62</f>
        <v>3997</v>
      </c>
      <c r="J35" s="3667">
        <f t="shared" si="15"/>
        <v>4003</v>
      </c>
      <c r="K35" s="3697">
        <f>'CONT EXECUTIE  '!M62</f>
        <v>3997</v>
      </c>
      <c r="L35" s="266"/>
      <c r="M35" s="260"/>
      <c r="N35" s="260"/>
      <c r="O35" s="260"/>
      <c r="P35" s="260"/>
      <c r="Q35" s="260"/>
      <c r="R35" s="260"/>
      <c r="S35" s="260"/>
      <c r="T35" s="260"/>
      <c r="U35" s="260"/>
      <c r="V35" s="260"/>
      <c r="W35" s="260"/>
    </row>
    <row r="36" spans="1:23" s="265" customFormat="1" ht="18" customHeight="1">
      <c r="A36" s="3701" t="s">
        <v>931</v>
      </c>
      <c r="B36" s="3666" t="s">
        <v>932</v>
      </c>
      <c r="C36" s="3672">
        <f>'CONT EXECUTIE  '!C63</f>
        <v>9000</v>
      </c>
      <c r="D36" s="3672">
        <f>'CONT EXECUTIE  '!D63</f>
        <v>0</v>
      </c>
      <c r="E36" s="3667">
        <f>'CONT EXECUTIE  '!E63</f>
        <v>9000</v>
      </c>
      <c r="F36" s="3667">
        <f>'CONT EXECUTIE  '!F63</f>
        <v>0</v>
      </c>
      <c r="G36" s="3667">
        <f>'CONT EXECUTIE  '!G63</f>
        <v>0</v>
      </c>
      <c r="H36" s="3667">
        <f>'CONT EXECUTIE  '!H63</f>
        <v>0</v>
      </c>
      <c r="I36" s="3667">
        <f>'CONT EXECUTIE  '!K63</f>
        <v>0</v>
      </c>
      <c r="J36" s="3667">
        <f t="shared" si="15"/>
        <v>0</v>
      </c>
      <c r="K36" s="3697">
        <f>'CONT EXECUTIE  '!M63</f>
        <v>5950</v>
      </c>
      <c r="L36" s="266"/>
      <c r="M36" s="260"/>
      <c r="N36" s="260"/>
      <c r="O36" s="260"/>
      <c r="P36" s="260"/>
      <c r="Q36" s="260"/>
      <c r="R36" s="260"/>
      <c r="S36" s="260"/>
      <c r="T36" s="260"/>
      <c r="U36" s="260"/>
      <c r="V36" s="260"/>
      <c r="W36" s="260"/>
    </row>
    <row r="37" spans="1:23" s="265" customFormat="1" ht="18" customHeight="1">
      <c r="A37" s="3701" t="s">
        <v>933</v>
      </c>
      <c r="B37" s="3666" t="s">
        <v>934</v>
      </c>
      <c r="C37" s="3672">
        <f>'CONT EXECUTIE  '!C64</f>
        <v>5000</v>
      </c>
      <c r="D37" s="3672">
        <f>'CONT EXECUTIE  '!D64</f>
        <v>0</v>
      </c>
      <c r="E37" s="3667">
        <f>'CONT EXECUTIE  '!E64</f>
        <v>5000</v>
      </c>
      <c r="F37" s="3667">
        <f>'CONT EXECUTIE  '!F64</f>
        <v>0</v>
      </c>
      <c r="G37" s="3667">
        <f>'CONT EXECUTIE  '!G64</f>
        <v>0</v>
      </c>
      <c r="H37" s="3667">
        <f>'CONT EXECUTIE  '!H64</f>
        <v>0</v>
      </c>
      <c r="I37" s="3667">
        <f>'CONT EXECUTIE  '!K64</f>
        <v>0</v>
      </c>
      <c r="J37" s="3667">
        <f t="shared" si="15"/>
        <v>0</v>
      </c>
      <c r="K37" s="3697">
        <f>'CONT EXECUTIE  '!M64</f>
        <v>0</v>
      </c>
      <c r="L37" s="266"/>
      <c r="M37" s="260"/>
      <c r="N37" s="260"/>
      <c r="O37" s="260"/>
      <c r="P37" s="260"/>
      <c r="Q37" s="260"/>
      <c r="R37" s="260"/>
      <c r="S37" s="260"/>
      <c r="T37" s="260"/>
      <c r="U37" s="260"/>
      <c r="V37" s="260"/>
      <c r="W37" s="260"/>
    </row>
    <row r="38" spans="1:23" s="265" customFormat="1" ht="18" customHeight="1">
      <c r="A38" s="3731" t="s">
        <v>935</v>
      </c>
      <c r="B38" s="3732" t="s">
        <v>936</v>
      </c>
      <c r="C38" s="3733">
        <f>'CONT EXECUTIE  '!C65</f>
        <v>48000</v>
      </c>
      <c r="D38" s="3733">
        <f>'CONT EXECUTIE  '!D65</f>
        <v>26500</v>
      </c>
      <c r="E38" s="3724">
        <f>'CONT EXECUTIE  '!E65</f>
        <v>48000</v>
      </c>
      <c r="F38" s="3724">
        <f>'CONT EXECUTIE  '!F65</f>
        <v>26500</v>
      </c>
      <c r="G38" s="3724">
        <f>'CONT EXECUTIE  '!G65</f>
        <v>48000</v>
      </c>
      <c r="H38" s="3724">
        <f>'CONT EXECUTIE  '!H65</f>
        <v>48000</v>
      </c>
      <c r="I38" s="3724">
        <f>'CONT EXECUTIE  '!K65</f>
        <v>25784</v>
      </c>
      <c r="J38" s="3724">
        <f t="shared" si="15"/>
        <v>22216</v>
      </c>
      <c r="K38" s="3725">
        <f>'CONT EXECUTIE  '!M65</f>
        <v>22806</v>
      </c>
      <c r="L38" s="266"/>
      <c r="M38" s="260"/>
      <c r="N38" s="260"/>
      <c r="O38" s="260"/>
      <c r="P38" s="260"/>
      <c r="Q38" s="260"/>
      <c r="R38" s="260"/>
      <c r="S38" s="260"/>
      <c r="T38" s="260"/>
      <c r="U38" s="260"/>
      <c r="V38" s="260"/>
      <c r="W38" s="260"/>
    </row>
    <row r="39" spans="1:23" s="265" customFormat="1" ht="24">
      <c r="A39" s="3726" t="s">
        <v>937</v>
      </c>
      <c r="B39" s="3727" t="s">
        <v>938</v>
      </c>
      <c r="C39" s="3728">
        <f>'CONT EXECUTIE  '!C66</f>
        <v>304597390</v>
      </c>
      <c r="D39" s="3728">
        <f>'CONT EXECUTIE  '!D66</f>
        <v>199794910</v>
      </c>
      <c r="E39" s="3729">
        <f>'CONT EXECUTIE  '!E66</f>
        <v>275296830</v>
      </c>
      <c r="F39" s="3729">
        <f>'CONT EXECUTIE  '!F66</f>
        <v>167544840</v>
      </c>
      <c r="G39" s="3729">
        <f>'CONT EXECUTIE  '!G66</f>
        <v>275284449</v>
      </c>
      <c r="H39" s="3729">
        <f>'CONT EXECUTIE  '!H66</f>
        <v>362877082</v>
      </c>
      <c r="I39" s="3729">
        <f>'CONT EXECUTIE  '!K66</f>
        <v>167298226</v>
      </c>
      <c r="J39" s="3729">
        <f t="shared" si="15"/>
        <v>195578856</v>
      </c>
      <c r="K39" s="3730">
        <f>'CONT EXECUTIE  '!M66</f>
        <v>134170899</v>
      </c>
      <c r="L39" s="266"/>
      <c r="M39" s="260"/>
      <c r="N39" s="260"/>
      <c r="O39" s="260"/>
      <c r="P39" s="260"/>
      <c r="Q39" s="260"/>
      <c r="R39" s="260"/>
      <c r="S39" s="260"/>
      <c r="T39" s="260"/>
      <c r="U39" s="260"/>
      <c r="V39" s="260"/>
      <c r="W39" s="260"/>
    </row>
    <row r="40" spans="1:23" s="265" customFormat="1" ht="24">
      <c r="A40" s="3701" t="s">
        <v>867</v>
      </c>
      <c r="B40" s="3666" t="s">
        <v>868</v>
      </c>
      <c r="C40" s="3672">
        <f>'CONT EXECUTIE  '!C69</f>
        <v>205000</v>
      </c>
      <c r="D40" s="3672">
        <f>'CONT EXECUTIE  '!D69</f>
        <v>113000</v>
      </c>
      <c r="E40" s="3667">
        <f>'CONT EXECUTIE  '!E69</f>
        <v>205000</v>
      </c>
      <c r="F40" s="3667">
        <f>'CONT EXECUTIE  '!F69</f>
        <v>113000</v>
      </c>
      <c r="G40" s="3667">
        <f>'CONT EXECUTIE  '!G69</f>
        <v>205000</v>
      </c>
      <c r="H40" s="3667">
        <f>'CONT EXECUTIE  '!H69</f>
        <v>205000</v>
      </c>
      <c r="I40" s="3667">
        <f>'CONT EXECUTIE  '!K69</f>
        <v>111836</v>
      </c>
      <c r="J40" s="3667">
        <f t="shared" si="15"/>
        <v>93164</v>
      </c>
      <c r="K40" s="3697">
        <f>'CONT EXECUTIE  '!M69</f>
        <v>112927</v>
      </c>
      <c r="L40" s="266"/>
      <c r="M40" s="260"/>
      <c r="N40" s="260"/>
      <c r="O40" s="260"/>
      <c r="P40" s="260"/>
      <c r="Q40" s="260"/>
      <c r="R40" s="260"/>
      <c r="S40" s="260"/>
      <c r="T40" s="260"/>
      <c r="U40" s="260"/>
      <c r="V40" s="260"/>
      <c r="W40" s="260"/>
    </row>
    <row r="41" spans="1:23" s="265" customFormat="1" ht="18" customHeight="1">
      <c r="A41" s="3703" t="s">
        <v>939</v>
      </c>
      <c r="B41" s="3664" t="s">
        <v>940</v>
      </c>
      <c r="C41" s="3674">
        <f>'CONT EXECUTIE  '!C72</f>
        <v>25000</v>
      </c>
      <c r="D41" s="3674">
        <f>'CONT EXECUTIE  '!D72</f>
        <v>25000</v>
      </c>
      <c r="E41" s="3636">
        <f>'CONT EXECUTIE  '!E72</f>
        <v>25000</v>
      </c>
      <c r="F41" s="3636">
        <f>'CONT EXECUTIE  '!F72</f>
        <v>25000</v>
      </c>
      <c r="G41" s="3636">
        <f>'CONT EXECUTIE  '!G72</f>
        <v>8881</v>
      </c>
      <c r="H41" s="3636">
        <f>'CONT EXECUTIE  '!H72</f>
        <v>8881</v>
      </c>
      <c r="I41" s="3636">
        <f>'CONT EXECUTIE  '!K72</f>
        <v>8881</v>
      </c>
      <c r="J41" s="3636">
        <f t="shared" si="15"/>
        <v>0</v>
      </c>
      <c r="K41" s="3640">
        <f>'CONT EXECUTIE  '!M72</f>
        <v>8881</v>
      </c>
      <c r="L41" s="266"/>
      <c r="M41" s="260"/>
      <c r="N41" s="260"/>
      <c r="O41" s="260"/>
      <c r="P41" s="260"/>
      <c r="Q41" s="260"/>
      <c r="R41" s="260"/>
      <c r="S41" s="260"/>
      <c r="T41" s="260"/>
      <c r="U41" s="260"/>
      <c r="V41" s="260"/>
      <c r="W41" s="260"/>
    </row>
    <row r="42" spans="1:23" s="265" customFormat="1" ht="36">
      <c r="A42" s="3703" t="s">
        <v>941</v>
      </c>
      <c r="B42" s="3664" t="s">
        <v>942</v>
      </c>
      <c r="C42" s="3674">
        <f t="shared" ref="C42:K42" si="16">ROUND(+C43,1)</f>
        <v>26000</v>
      </c>
      <c r="D42" s="3674">
        <f t="shared" si="16"/>
        <v>26000</v>
      </c>
      <c r="E42" s="3674">
        <f t="shared" si="16"/>
        <v>26000</v>
      </c>
      <c r="F42" s="3674">
        <f t="shared" si="16"/>
        <v>26000</v>
      </c>
      <c r="G42" s="3674">
        <f t="shared" si="16"/>
        <v>9217</v>
      </c>
      <c r="H42" s="3674">
        <f t="shared" si="16"/>
        <v>9217</v>
      </c>
      <c r="I42" s="3674">
        <f t="shared" si="16"/>
        <v>9217</v>
      </c>
      <c r="J42" s="3674">
        <f t="shared" si="16"/>
        <v>0</v>
      </c>
      <c r="K42" s="3704">
        <f t="shared" si="16"/>
        <v>0</v>
      </c>
      <c r="L42" s="266"/>
      <c r="M42" s="260"/>
      <c r="N42" s="260"/>
      <c r="O42" s="260"/>
      <c r="P42" s="260"/>
      <c r="Q42" s="260"/>
      <c r="R42" s="260"/>
      <c r="S42" s="260"/>
      <c r="T42" s="260"/>
      <c r="U42" s="260"/>
      <c r="V42" s="260"/>
      <c r="W42" s="260"/>
    </row>
    <row r="43" spans="1:23" s="265" customFormat="1" ht="18" customHeight="1">
      <c r="A43" s="3701" t="s">
        <v>943</v>
      </c>
      <c r="B43" s="3666" t="s">
        <v>944</v>
      </c>
      <c r="C43" s="3672">
        <f>'CONT EXECUTIE  '!C74</f>
        <v>26000</v>
      </c>
      <c r="D43" s="3672">
        <f>'CONT EXECUTIE  '!D74</f>
        <v>26000</v>
      </c>
      <c r="E43" s="3667">
        <f>'CONT EXECUTIE  '!E74</f>
        <v>26000</v>
      </c>
      <c r="F43" s="3667">
        <f>'CONT EXECUTIE  '!F74</f>
        <v>26000</v>
      </c>
      <c r="G43" s="3667">
        <f>'CONT EXECUTIE  '!G74</f>
        <v>9217</v>
      </c>
      <c r="H43" s="3667">
        <f>'CONT EXECUTIE  '!H74</f>
        <v>9217</v>
      </c>
      <c r="I43" s="3667">
        <f>'CONT EXECUTIE  '!K74</f>
        <v>9217</v>
      </c>
      <c r="J43" s="3667">
        <f>H43-I43</f>
        <v>0</v>
      </c>
      <c r="K43" s="3697">
        <f>'CONT EXECUTIE  '!M74</f>
        <v>0</v>
      </c>
      <c r="L43" s="266"/>
      <c r="M43" s="260"/>
      <c r="N43" s="260"/>
      <c r="O43" s="260"/>
      <c r="P43" s="260"/>
      <c r="Q43" s="260"/>
      <c r="R43" s="260"/>
      <c r="S43" s="260"/>
      <c r="T43" s="260"/>
      <c r="U43" s="260"/>
      <c r="V43" s="260"/>
      <c r="W43" s="260"/>
    </row>
    <row r="44" spans="1:23" s="265" customFormat="1" ht="24">
      <c r="A44" s="3703" t="s">
        <v>945</v>
      </c>
      <c r="B44" s="3664" t="s">
        <v>946</v>
      </c>
      <c r="C44" s="3671">
        <f t="shared" ref="C44:K44" si="17">ROUND(C45+C46,1)</f>
        <v>0</v>
      </c>
      <c r="D44" s="3671">
        <f>ROUND(D45+D46,1)</f>
        <v>0</v>
      </c>
      <c r="E44" s="3665">
        <f t="shared" si="17"/>
        <v>0</v>
      </c>
      <c r="F44" s="3665">
        <f t="shared" si="17"/>
        <v>0</v>
      </c>
      <c r="G44" s="3665">
        <f t="shared" ref="G44:H44" si="18">ROUND(G45+G46,1)</f>
        <v>0</v>
      </c>
      <c r="H44" s="3665">
        <f t="shared" si="18"/>
        <v>0</v>
      </c>
      <c r="I44" s="3665">
        <f t="shared" si="17"/>
        <v>0</v>
      </c>
      <c r="J44" s="3665">
        <f t="shared" si="17"/>
        <v>0</v>
      </c>
      <c r="K44" s="3695">
        <f t="shared" si="17"/>
        <v>0</v>
      </c>
      <c r="L44" s="266"/>
      <c r="M44" s="260"/>
      <c r="N44" s="260"/>
      <c r="O44" s="260"/>
      <c r="P44" s="260"/>
      <c r="Q44" s="260"/>
      <c r="R44" s="260"/>
      <c r="S44" s="260"/>
      <c r="T44" s="260"/>
      <c r="U44" s="260"/>
      <c r="V44" s="260"/>
      <c r="W44" s="260"/>
    </row>
    <row r="45" spans="1:23" s="265" customFormat="1" ht="18" customHeight="1">
      <c r="A45" s="3701" t="s">
        <v>947</v>
      </c>
      <c r="B45" s="3666" t="s">
        <v>948</v>
      </c>
      <c r="C45" s="3672">
        <f>'CONT EXECUTIE  '!C76</f>
        <v>0</v>
      </c>
      <c r="D45" s="3672">
        <f>'CONT EXECUTIE  '!D76</f>
        <v>0</v>
      </c>
      <c r="E45" s="3667">
        <f>'CONT EXECUTIE  '!E76</f>
        <v>0</v>
      </c>
      <c r="F45" s="3667">
        <f>'CONT EXECUTIE  '!F76</f>
        <v>0</v>
      </c>
      <c r="G45" s="3667">
        <f>'CONT EXECUTIE  '!G76</f>
        <v>0</v>
      </c>
      <c r="H45" s="3667">
        <f>'CONT EXECUTIE  '!H76</f>
        <v>0</v>
      </c>
      <c r="I45" s="3667">
        <f>'CONT EXECUTIE  '!K76</f>
        <v>0</v>
      </c>
      <c r="J45" s="3667">
        <f t="shared" ref="J45:J50" si="19">H45-I45</f>
        <v>0</v>
      </c>
      <c r="K45" s="3697">
        <f>'CONT EXECUTIE  '!M76</f>
        <v>0</v>
      </c>
      <c r="L45" s="266"/>
      <c r="M45" s="260"/>
      <c r="N45" s="260"/>
      <c r="O45" s="260"/>
      <c r="P45" s="260"/>
      <c r="Q45" s="260"/>
      <c r="R45" s="260"/>
      <c r="S45" s="260"/>
      <c r="T45" s="260"/>
      <c r="U45" s="260"/>
      <c r="V45" s="260"/>
      <c r="W45" s="260"/>
    </row>
    <row r="46" spans="1:23" s="265" customFormat="1" ht="18" customHeight="1">
      <c r="A46" s="3701" t="s">
        <v>949</v>
      </c>
      <c r="B46" s="3666" t="s">
        <v>950</v>
      </c>
      <c r="C46" s="3672">
        <f>'CONT EXECUTIE  '!C77</f>
        <v>0</v>
      </c>
      <c r="D46" s="3672">
        <f>'CONT EXECUTIE  '!D77</f>
        <v>0</v>
      </c>
      <c r="E46" s="3667">
        <f>'CONT EXECUTIE  '!E77</f>
        <v>0</v>
      </c>
      <c r="F46" s="3667">
        <f>'CONT EXECUTIE  '!F77</f>
        <v>0</v>
      </c>
      <c r="G46" s="3667">
        <f>'CONT EXECUTIE  '!G77</f>
        <v>0</v>
      </c>
      <c r="H46" s="3667">
        <f>'CONT EXECUTIE  '!H77</f>
        <v>0</v>
      </c>
      <c r="I46" s="3667">
        <f>'CONT EXECUTIE  '!K77</f>
        <v>0</v>
      </c>
      <c r="J46" s="3667">
        <f t="shared" si="19"/>
        <v>0</v>
      </c>
      <c r="K46" s="3697">
        <f>'CONT EXECUTIE  '!M77</f>
        <v>0</v>
      </c>
      <c r="L46" s="266"/>
      <c r="M46" s="260"/>
      <c r="N46" s="260"/>
      <c r="O46" s="260"/>
      <c r="P46" s="260"/>
      <c r="Q46" s="260"/>
      <c r="R46" s="260"/>
      <c r="S46" s="260"/>
      <c r="T46" s="260"/>
      <c r="U46" s="260"/>
      <c r="V46" s="260"/>
      <c r="W46" s="260"/>
    </row>
    <row r="47" spans="1:23" s="265" customFormat="1" ht="24">
      <c r="A47" s="3703" t="s">
        <v>951</v>
      </c>
      <c r="B47" s="3664" t="s">
        <v>952</v>
      </c>
      <c r="C47" s="3671">
        <f>'CONT EXECUTIE  '!C78</f>
        <v>8000</v>
      </c>
      <c r="D47" s="3671">
        <f>'CONT EXECUTIE  '!D78</f>
        <v>8000</v>
      </c>
      <c r="E47" s="3665">
        <f>'CONT EXECUTIE  '!E78</f>
        <v>8000</v>
      </c>
      <c r="F47" s="3665">
        <f>'CONT EXECUTIE  '!F78</f>
        <v>8000</v>
      </c>
      <c r="G47" s="3665">
        <f>'CONT EXECUTIE  '!G78</f>
        <v>7021</v>
      </c>
      <c r="H47" s="3665">
        <f>'CONT EXECUTIE  '!H78</f>
        <v>7021</v>
      </c>
      <c r="I47" s="3665">
        <f>'CONT EXECUTIE  '!K78</f>
        <v>7021</v>
      </c>
      <c r="J47" s="3665">
        <f t="shared" si="19"/>
        <v>0</v>
      </c>
      <c r="K47" s="3695">
        <f>'CONT EXECUTIE  '!M78</f>
        <v>7338</v>
      </c>
      <c r="L47" s="266"/>
      <c r="M47" s="260"/>
      <c r="N47" s="260"/>
      <c r="O47" s="260"/>
      <c r="P47" s="260"/>
      <c r="Q47" s="260"/>
      <c r="R47" s="260"/>
      <c r="S47" s="260"/>
      <c r="T47" s="260"/>
      <c r="U47" s="260"/>
      <c r="V47" s="260"/>
      <c r="W47" s="260"/>
    </row>
    <row r="48" spans="1:23" s="265" customFormat="1" ht="18" customHeight="1">
      <c r="A48" s="3703" t="s">
        <v>953</v>
      </c>
      <c r="B48" s="3664" t="s">
        <v>954</v>
      </c>
      <c r="C48" s="3671">
        <f>'CONT EXECUTIE  '!C79</f>
        <v>0</v>
      </c>
      <c r="D48" s="3671">
        <f>'CONT EXECUTIE  '!D79</f>
        <v>0</v>
      </c>
      <c r="E48" s="3665">
        <f>'CONT EXECUTIE  '!E79</f>
        <v>0</v>
      </c>
      <c r="F48" s="3665">
        <f>'CONT EXECUTIE  '!F79</f>
        <v>0</v>
      </c>
      <c r="G48" s="3665">
        <f>'CONT EXECUTIE  '!G79</f>
        <v>0</v>
      </c>
      <c r="H48" s="3665">
        <f>'CONT EXECUTIE  '!H79</f>
        <v>0</v>
      </c>
      <c r="I48" s="3665">
        <f>'CONT EXECUTIE  '!K79</f>
        <v>0</v>
      </c>
      <c r="J48" s="3665">
        <f t="shared" si="19"/>
        <v>0</v>
      </c>
      <c r="K48" s="3695">
        <f>'CONT EXECUTIE  '!M79</f>
        <v>0</v>
      </c>
      <c r="L48" s="266"/>
      <c r="M48" s="260"/>
      <c r="N48" s="260"/>
      <c r="O48" s="260"/>
      <c r="P48" s="260"/>
      <c r="Q48" s="260"/>
      <c r="R48" s="260"/>
      <c r="S48" s="260"/>
      <c r="T48" s="260"/>
      <c r="U48" s="260"/>
      <c r="V48" s="260"/>
      <c r="W48" s="260"/>
    </row>
    <row r="49" spans="1:23" s="265" customFormat="1" ht="18" customHeight="1">
      <c r="A49" s="3703" t="s">
        <v>955</v>
      </c>
      <c r="B49" s="3664" t="s">
        <v>956</v>
      </c>
      <c r="C49" s="3671">
        <f>'CONT EXECUTIE  '!C80</f>
        <v>0</v>
      </c>
      <c r="D49" s="3671">
        <f>'CONT EXECUTIE  '!D80</f>
        <v>0</v>
      </c>
      <c r="E49" s="3665">
        <f>'CONT EXECUTIE  '!E80</f>
        <v>0</v>
      </c>
      <c r="F49" s="3665">
        <f>'CONT EXECUTIE  '!F80</f>
        <v>0</v>
      </c>
      <c r="G49" s="3665">
        <f>'CONT EXECUTIE  '!G80</f>
        <v>0</v>
      </c>
      <c r="H49" s="3665">
        <f>'CONT EXECUTIE  '!H80</f>
        <v>0</v>
      </c>
      <c r="I49" s="3665">
        <f>'CONT EXECUTIE  '!K80</f>
        <v>0</v>
      </c>
      <c r="J49" s="3665">
        <f t="shared" si="19"/>
        <v>0</v>
      </c>
      <c r="K49" s="3695">
        <f>'CONT EXECUTIE  '!M80</f>
        <v>0</v>
      </c>
      <c r="L49" s="266"/>
      <c r="M49" s="260"/>
      <c r="N49" s="260"/>
      <c r="O49" s="260"/>
      <c r="P49" s="260"/>
      <c r="Q49" s="260"/>
      <c r="R49" s="260"/>
      <c r="S49" s="260"/>
      <c r="T49" s="260"/>
      <c r="U49" s="260"/>
      <c r="V49" s="260"/>
      <c r="W49" s="260"/>
    </row>
    <row r="50" spans="1:23" s="265" customFormat="1" ht="18" customHeight="1">
      <c r="A50" s="3703" t="s">
        <v>957</v>
      </c>
      <c r="B50" s="3664" t="s">
        <v>958</v>
      </c>
      <c r="C50" s="3671">
        <f>'CONT EXECUTIE  '!C81</f>
        <v>7000</v>
      </c>
      <c r="D50" s="3671">
        <f>'CONT EXECUTIE  '!D81</f>
        <v>3000</v>
      </c>
      <c r="E50" s="3665">
        <f>'CONT EXECUTIE  '!E81</f>
        <v>7000</v>
      </c>
      <c r="F50" s="3665">
        <f>'CONT EXECUTIE  '!F81</f>
        <v>3000</v>
      </c>
      <c r="G50" s="3665">
        <f>'CONT EXECUTIE  '!G81</f>
        <v>4000</v>
      </c>
      <c r="H50" s="3665">
        <f>'CONT EXECUTIE  '!H81</f>
        <v>4000</v>
      </c>
      <c r="I50" s="3665">
        <f>'CONT EXECUTIE  '!K81</f>
        <v>1000</v>
      </c>
      <c r="J50" s="3665">
        <f t="shared" si="19"/>
        <v>3000</v>
      </c>
      <c r="K50" s="3695">
        <f>'CONT EXECUTIE  '!M81</f>
        <v>1000</v>
      </c>
      <c r="L50" s="266"/>
      <c r="M50" s="260"/>
      <c r="N50" s="260"/>
      <c r="O50" s="260"/>
      <c r="P50" s="260"/>
      <c r="Q50" s="260"/>
      <c r="R50" s="260"/>
      <c r="S50" s="260"/>
      <c r="T50" s="260"/>
      <c r="U50" s="260"/>
      <c r="V50" s="260"/>
      <c r="W50" s="260"/>
    </row>
    <row r="51" spans="1:23" s="265" customFormat="1" ht="48">
      <c r="A51" s="3705" t="s">
        <v>2093</v>
      </c>
      <c r="B51" s="3670" t="s">
        <v>2096</v>
      </c>
      <c r="C51" s="3671">
        <f>'CONT EXECUTIE  '!C82</f>
        <v>8840</v>
      </c>
      <c r="D51" s="3671">
        <f>'CONT EXECUTIE  '!D82</f>
        <v>3170</v>
      </c>
      <c r="E51" s="3665">
        <f>'CONT EXECUTIE  '!E82</f>
        <v>8840</v>
      </c>
      <c r="F51" s="3665">
        <f>'CONT EXECUTIE  '!F82</f>
        <v>3170</v>
      </c>
      <c r="G51" s="3665">
        <f>'CONT EXECUTIE  '!G82</f>
        <v>3162</v>
      </c>
      <c r="H51" s="3665">
        <f>'CONT EXECUTIE  '!H82</f>
        <v>3162</v>
      </c>
      <c r="I51" s="3665">
        <f>'CONT EXECUTIE  '!K82</f>
        <v>3162</v>
      </c>
      <c r="J51" s="3665">
        <f t="shared" ref="J51" si="20">H51-I51</f>
        <v>0</v>
      </c>
      <c r="K51" s="3695">
        <f>'CONT EXECUTIE  '!M82</f>
        <v>3162</v>
      </c>
      <c r="L51" s="266"/>
      <c r="M51" s="260"/>
      <c r="N51" s="260"/>
      <c r="O51" s="260"/>
      <c r="P51" s="260"/>
      <c r="Q51" s="260"/>
      <c r="R51" s="260"/>
      <c r="S51" s="260"/>
      <c r="T51" s="260"/>
      <c r="U51" s="260"/>
      <c r="V51" s="260"/>
      <c r="W51" s="260"/>
    </row>
    <row r="52" spans="1:23" s="265" customFormat="1" ht="24">
      <c r="A52" s="3703" t="s">
        <v>959</v>
      </c>
      <c r="B52" s="3664" t="s">
        <v>869</v>
      </c>
      <c r="C52" s="3636">
        <f t="shared" ref="C52:K52" si="21">C53+C54</f>
        <v>19000</v>
      </c>
      <c r="D52" s="3636">
        <f>D53+D54</f>
        <v>10000</v>
      </c>
      <c r="E52" s="3636">
        <f t="shared" si="21"/>
        <v>19000</v>
      </c>
      <c r="F52" s="3636">
        <f t="shared" si="21"/>
        <v>10000</v>
      </c>
      <c r="G52" s="3636">
        <f t="shared" ref="G52:H52" si="22">G53+G54</f>
        <v>18480</v>
      </c>
      <c r="H52" s="3636">
        <f t="shared" si="22"/>
        <v>18480</v>
      </c>
      <c r="I52" s="3636">
        <f t="shared" si="21"/>
        <v>8980</v>
      </c>
      <c r="J52" s="3636">
        <f t="shared" si="21"/>
        <v>9500</v>
      </c>
      <c r="K52" s="3640">
        <f t="shared" si="21"/>
        <v>8980</v>
      </c>
      <c r="L52" s="266"/>
      <c r="M52" s="260"/>
      <c r="N52" s="260"/>
      <c r="O52" s="260"/>
      <c r="P52" s="260"/>
      <c r="Q52" s="260"/>
      <c r="R52" s="260"/>
      <c r="S52" s="260"/>
      <c r="T52" s="260"/>
      <c r="U52" s="260"/>
      <c r="V52" s="260"/>
      <c r="W52" s="260"/>
    </row>
    <row r="53" spans="1:23" s="265" customFormat="1" ht="18" customHeight="1">
      <c r="A53" s="3701" t="s">
        <v>870</v>
      </c>
      <c r="B53" s="3666" t="s">
        <v>871</v>
      </c>
      <c r="C53" s="3672">
        <f>'CONT EXECUTIE  '!C84</f>
        <v>18000</v>
      </c>
      <c r="D53" s="3672">
        <f>'CONT EXECUTIE  '!D84</f>
        <v>9000</v>
      </c>
      <c r="E53" s="3667">
        <f>'CONT EXECUTIE  '!E84</f>
        <v>18000</v>
      </c>
      <c r="F53" s="3667">
        <f>'CONT EXECUTIE  '!F84</f>
        <v>9000</v>
      </c>
      <c r="G53" s="3667">
        <f>'CONT EXECUTIE  '!G84</f>
        <v>18000</v>
      </c>
      <c r="H53" s="3667">
        <f>'CONT EXECUTIE  '!H84</f>
        <v>18000</v>
      </c>
      <c r="I53" s="3667">
        <f>'CONT EXECUTIE  '!K84</f>
        <v>8500</v>
      </c>
      <c r="J53" s="3667">
        <f>H53-I53</f>
        <v>9500</v>
      </c>
      <c r="K53" s="3697">
        <f>'CONT EXECUTIE  '!M84</f>
        <v>8500</v>
      </c>
      <c r="L53" s="266"/>
      <c r="M53" s="260"/>
      <c r="N53" s="260"/>
      <c r="O53" s="260"/>
      <c r="P53" s="260"/>
      <c r="Q53" s="260"/>
      <c r="R53" s="260"/>
      <c r="S53" s="260"/>
      <c r="T53" s="260"/>
      <c r="U53" s="260"/>
      <c r="V53" s="260"/>
      <c r="W53" s="260"/>
    </row>
    <row r="54" spans="1:23" s="265" customFormat="1" ht="18" customHeight="1">
      <c r="A54" s="3696" t="s">
        <v>960</v>
      </c>
      <c r="B54" s="3666" t="s">
        <v>961</v>
      </c>
      <c r="C54" s="3672">
        <f>'CONT EXECUTIE  '!C85</f>
        <v>1000</v>
      </c>
      <c r="D54" s="3672">
        <f>'CONT EXECUTIE  '!D85</f>
        <v>1000</v>
      </c>
      <c r="E54" s="3667">
        <f>'CONT EXECUTIE  '!E85</f>
        <v>1000</v>
      </c>
      <c r="F54" s="3667">
        <f>'CONT EXECUTIE  '!F85</f>
        <v>1000</v>
      </c>
      <c r="G54" s="3667">
        <f>'CONT EXECUTIE  '!G85</f>
        <v>480</v>
      </c>
      <c r="H54" s="3667">
        <f>'CONT EXECUTIE  '!H85</f>
        <v>480</v>
      </c>
      <c r="I54" s="3667">
        <f>'CONT EXECUTIE  '!K85</f>
        <v>480</v>
      </c>
      <c r="J54" s="3667">
        <f>H54-I54</f>
        <v>0</v>
      </c>
      <c r="K54" s="3697">
        <f>'CONT EXECUTIE  '!M85</f>
        <v>480</v>
      </c>
      <c r="L54" s="266"/>
      <c r="M54" s="260"/>
      <c r="N54" s="260"/>
      <c r="O54" s="260"/>
      <c r="P54" s="260"/>
      <c r="Q54" s="260"/>
      <c r="R54" s="260"/>
      <c r="S54" s="260"/>
      <c r="T54" s="260"/>
      <c r="U54" s="260"/>
      <c r="V54" s="260"/>
      <c r="W54" s="260"/>
    </row>
    <row r="55" spans="1:23" s="265" customFormat="1" ht="24">
      <c r="A55" s="3692" t="s">
        <v>962</v>
      </c>
      <c r="B55" s="3664" t="s">
        <v>759</v>
      </c>
      <c r="C55" s="3674">
        <f t="shared" ref="C55:K56" si="23">C56</f>
        <v>0</v>
      </c>
      <c r="D55" s="3674">
        <f t="shared" si="23"/>
        <v>0</v>
      </c>
      <c r="E55" s="3636">
        <f t="shared" si="23"/>
        <v>0</v>
      </c>
      <c r="F55" s="3636">
        <f t="shared" si="23"/>
        <v>0</v>
      </c>
      <c r="G55" s="3636">
        <f t="shared" si="23"/>
        <v>0</v>
      </c>
      <c r="H55" s="3636">
        <f t="shared" si="23"/>
        <v>0</v>
      </c>
      <c r="I55" s="3636">
        <f t="shared" si="23"/>
        <v>0</v>
      </c>
      <c r="J55" s="3636">
        <f t="shared" si="23"/>
        <v>0</v>
      </c>
      <c r="K55" s="3640">
        <f t="shared" si="23"/>
        <v>0</v>
      </c>
      <c r="L55" s="266"/>
      <c r="M55" s="260"/>
      <c r="N55" s="260"/>
      <c r="O55" s="260"/>
      <c r="P55" s="260"/>
      <c r="Q55" s="260"/>
      <c r="R55" s="260"/>
      <c r="S55" s="260"/>
      <c r="T55" s="260"/>
      <c r="U55" s="260"/>
      <c r="V55" s="260"/>
      <c r="W55" s="260"/>
    </row>
    <row r="56" spans="1:23" s="265" customFormat="1" ht="18" customHeight="1">
      <c r="A56" s="3703" t="s">
        <v>963</v>
      </c>
      <c r="B56" s="3664" t="s">
        <v>964</v>
      </c>
      <c r="C56" s="3674">
        <f t="shared" si="23"/>
        <v>0</v>
      </c>
      <c r="D56" s="3674">
        <f t="shared" si="23"/>
        <v>0</v>
      </c>
      <c r="E56" s="3636">
        <f t="shared" si="23"/>
        <v>0</v>
      </c>
      <c r="F56" s="3636">
        <f t="shared" si="23"/>
        <v>0</v>
      </c>
      <c r="G56" s="3636">
        <f t="shared" si="23"/>
        <v>0</v>
      </c>
      <c r="H56" s="3636">
        <f t="shared" si="23"/>
        <v>0</v>
      </c>
      <c r="I56" s="3636">
        <f t="shared" si="23"/>
        <v>0</v>
      </c>
      <c r="J56" s="3636">
        <f t="shared" si="23"/>
        <v>0</v>
      </c>
      <c r="K56" s="3640">
        <f t="shared" si="23"/>
        <v>0</v>
      </c>
      <c r="L56" s="266"/>
      <c r="M56" s="260"/>
      <c r="N56" s="260"/>
      <c r="O56" s="260"/>
      <c r="P56" s="260"/>
      <c r="Q56" s="260"/>
      <c r="R56" s="260"/>
      <c r="S56" s="260"/>
      <c r="T56" s="260"/>
      <c r="U56" s="260"/>
      <c r="V56" s="260"/>
      <c r="W56" s="260"/>
    </row>
    <row r="57" spans="1:23" s="265" customFormat="1" ht="18" customHeight="1">
      <c r="A57" s="3701" t="s">
        <v>965</v>
      </c>
      <c r="B57" s="3666" t="s">
        <v>966</v>
      </c>
      <c r="C57" s="3672">
        <f>'CONT EXECUTIE  '!C88</f>
        <v>0</v>
      </c>
      <c r="D57" s="3672">
        <f>'CONT EXECUTIE  '!D88</f>
        <v>0</v>
      </c>
      <c r="E57" s="3672">
        <f>'CONT EXECUTIE  '!E88</f>
        <v>0</v>
      </c>
      <c r="F57" s="3672">
        <f>'CONT EXECUTIE  '!F88</f>
        <v>0</v>
      </c>
      <c r="G57" s="3672">
        <f>'CONT EXECUTIE  '!G88</f>
        <v>0</v>
      </c>
      <c r="H57" s="3672">
        <f>'CONT EXECUTIE  '!H88</f>
        <v>0</v>
      </c>
      <c r="I57" s="3672">
        <f>'CONT EXECUTIE  '!K88</f>
        <v>0</v>
      </c>
      <c r="J57" s="3672">
        <f>H57-I57</f>
        <v>0</v>
      </c>
      <c r="K57" s="3697">
        <f>'CONT EXECUTIE  '!M88</f>
        <v>0</v>
      </c>
      <c r="L57" s="266"/>
      <c r="M57" s="260"/>
      <c r="N57" s="260"/>
      <c r="O57" s="260"/>
      <c r="P57" s="260"/>
      <c r="Q57" s="260"/>
      <c r="R57" s="260"/>
      <c r="S57" s="260"/>
      <c r="T57" s="260"/>
      <c r="U57" s="260"/>
      <c r="V57" s="260"/>
      <c r="W57" s="260"/>
    </row>
    <row r="58" spans="1:23" s="271" customFormat="1" ht="38.25">
      <c r="A58" s="3111" t="s">
        <v>967</v>
      </c>
      <c r="B58" s="3431" t="s">
        <v>968</v>
      </c>
      <c r="C58" s="3671">
        <f t="shared" ref="C58:K58" si="24">+C59</f>
        <v>111759870</v>
      </c>
      <c r="D58" s="3671">
        <f t="shared" si="24"/>
        <v>67163420</v>
      </c>
      <c r="E58" s="3671">
        <f t="shared" si="24"/>
        <v>111759870</v>
      </c>
      <c r="F58" s="3671">
        <f t="shared" si="24"/>
        <v>67163420</v>
      </c>
      <c r="G58" s="3671">
        <f t="shared" si="24"/>
        <v>60303790</v>
      </c>
      <c r="H58" s="3671">
        <f t="shared" si="24"/>
        <v>60303790</v>
      </c>
      <c r="I58" s="3671">
        <f t="shared" si="24"/>
        <v>60303790</v>
      </c>
      <c r="J58" s="3671">
        <f t="shared" si="24"/>
        <v>0</v>
      </c>
      <c r="K58" s="3640">
        <f t="shared" si="24"/>
        <v>60303790</v>
      </c>
      <c r="L58" s="270"/>
      <c r="M58" s="259"/>
      <c r="N58" s="259"/>
      <c r="O58" s="259"/>
      <c r="P58" s="259"/>
      <c r="Q58" s="259"/>
      <c r="R58" s="259"/>
      <c r="S58" s="259"/>
      <c r="T58" s="259"/>
      <c r="U58" s="259"/>
      <c r="V58" s="259"/>
      <c r="W58" s="259"/>
    </row>
    <row r="59" spans="1:23" s="271" customFormat="1" ht="18" customHeight="1">
      <c r="A59" s="3146" t="s">
        <v>969</v>
      </c>
      <c r="B59" s="3431" t="s">
        <v>970</v>
      </c>
      <c r="C59" s="3671">
        <f>+C60+C61</f>
        <v>111759870</v>
      </c>
      <c r="D59" s="3671">
        <f t="shared" ref="D59:J59" si="25">+D60+D61</f>
        <v>67163420</v>
      </c>
      <c r="E59" s="3671">
        <f t="shared" si="25"/>
        <v>111759870</v>
      </c>
      <c r="F59" s="3671">
        <f t="shared" si="25"/>
        <v>67163420</v>
      </c>
      <c r="G59" s="3671">
        <f t="shared" ref="G59:H59" si="26">+G60+G61</f>
        <v>60303790</v>
      </c>
      <c r="H59" s="3671">
        <f t="shared" si="26"/>
        <v>60303790</v>
      </c>
      <c r="I59" s="3671">
        <f t="shared" si="25"/>
        <v>60303790</v>
      </c>
      <c r="J59" s="3671">
        <f t="shared" si="25"/>
        <v>0</v>
      </c>
      <c r="K59" s="3640">
        <f>+K60+K61</f>
        <v>60303790</v>
      </c>
      <c r="L59" s="270"/>
      <c r="M59" s="259"/>
      <c r="N59" s="259"/>
      <c r="O59" s="259"/>
      <c r="P59" s="259"/>
      <c r="Q59" s="259"/>
      <c r="R59" s="259"/>
      <c r="S59" s="259"/>
      <c r="T59" s="259"/>
      <c r="U59" s="259"/>
      <c r="V59" s="259"/>
      <c r="W59" s="259"/>
    </row>
    <row r="60" spans="1:23" s="271" customFormat="1" ht="63.75">
      <c r="A60" s="3124" t="s">
        <v>971</v>
      </c>
      <c r="B60" s="3675" t="s">
        <v>972</v>
      </c>
      <c r="C60" s="3672">
        <f>+'CONT EXECUTIE  '!C91</f>
        <v>111759870</v>
      </c>
      <c r="D60" s="3672">
        <f>+'CONT EXECUTIE  '!D91</f>
        <v>67163420</v>
      </c>
      <c r="E60" s="3672">
        <f>+'CONT EXECUTIE  '!E91</f>
        <v>111759870</v>
      </c>
      <c r="F60" s="3672">
        <f>+'CONT EXECUTIE  '!F91</f>
        <v>67163420</v>
      </c>
      <c r="G60" s="3672">
        <f>+'CONT EXECUTIE  '!G91</f>
        <v>60303790</v>
      </c>
      <c r="H60" s="3672">
        <f>+'CONT EXECUTIE  '!H91</f>
        <v>60303790</v>
      </c>
      <c r="I60" s="3672">
        <f>+'CONT EXECUTIE  '!K91</f>
        <v>60303790</v>
      </c>
      <c r="J60" s="3672">
        <f>+'CONT EXECUTIE  '!L91</f>
        <v>0</v>
      </c>
      <c r="K60" s="3706">
        <f>+'CONT EXECUTIE  '!M91</f>
        <v>60303790</v>
      </c>
      <c r="L60" s="270"/>
      <c r="M60" s="259"/>
      <c r="N60" s="259"/>
      <c r="O60" s="259"/>
      <c r="P60" s="259"/>
      <c r="Q60" s="259"/>
      <c r="R60" s="259"/>
      <c r="S60" s="259"/>
      <c r="T60" s="259"/>
      <c r="U60" s="259"/>
      <c r="V60" s="259"/>
      <c r="W60" s="259"/>
    </row>
    <row r="61" spans="1:23" s="271" customFormat="1" ht="25.5">
      <c r="A61" s="3406" t="s">
        <v>2173</v>
      </c>
      <c r="B61" s="3738" t="s">
        <v>2172</v>
      </c>
      <c r="C61" s="3733">
        <f>+'CONT EXECUTIE  '!C103</f>
        <v>0</v>
      </c>
      <c r="D61" s="3733">
        <f>+'CONT EXECUTIE  '!D103</f>
        <v>0</v>
      </c>
      <c r="E61" s="3733">
        <f>+'CONT EXECUTIE  '!E103</f>
        <v>0</v>
      </c>
      <c r="F61" s="3733">
        <f>+'CONT EXECUTIE  '!F103</f>
        <v>0</v>
      </c>
      <c r="G61" s="3733">
        <f>+'CONT EXECUTIE  '!G103</f>
        <v>0</v>
      </c>
      <c r="H61" s="3733">
        <f>+'CONT EXECUTIE  '!H103</f>
        <v>0</v>
      </c>
      <c r="I61" s="3733">
        <f>+'CONT EXECUTIE  '!K103</f>
        <v>0</v>
      </c>
      <c r="J61" s="3733">
        <f>+'CONT EXECUTIE  '!L103</f>
        <v>0</v>
      </c>
      <c r="K61" s="3739">
        <f>+'CONT EXECUTIE  '!M103</f>
        <v>0</v>
      </c>
      <c r="L61" s="270"/>
      <c r="M61" s="259"/>
      <c r="N61" s="259"/>
      <c r="O61" s="259"/>
      <c r="P61" s="259"/>
      <c r="Q61" s="259"/>
      <c r="R61" s="259"/>
      <c r="S61" s="259"/>
      <c r="T61" s="259"/>
      <c r="U61" s="259"/>
      <c r="V61" s="259"/>
      <c r="W61" s="259"/>
    </row>
    <row r="62" spans="1:23" s="274" customFormat="1" ht="63.75">
      <c r="A62" s="3734" t="s">
        <v>973</v>
      </c>
      <c r="B62" s="3735" t="s">
        <v>974</v>
      </c>
      <c r="C62" s="3736">
        <f>'CONT EXECUTIE  '!C106</f>
        <v>0</v>
      </c>
      <c r="D62" s="3736">
        <f>'CONT EXECUTIE  '!D106</f>
        <v>0</v>
      </c>
      <c r="E62" s="3736">
        <f>'CONT EXECUTIE  '!E106</f>
        <v>0</v>
      </c>
      <c r="F62" s="3736">
        <f>'CONT EXECUTIE  '!F106</f>
        <v>0</v>
      </c>
      <c r="G62" s="3736">
        <f>+'CONT EXECUTIE  '!G106</f>
        <v>0</v>
      </c>
      <c r="H62" s="3736">
        <f>+'CONT EXECUTIE  '!H106</f>
        <v>0</v>
      </c>
      <c r="I62" s="3736">
        <f>+'CONT EXECUTIE  '!K106</f>
        <v>0</v>
      </c>
      <c r="J62" s="3736">
        <f>+'CONT EXECUTIE  '!L106</f>
        <v>0</v>
      </c>
      <c r="K62" s="3737">
        <f>+'CONT EXECUTIE  '!M106</f>
        <v>0</v>
      </c>
      <c r="L62" s="272"/>
      <c r="M62" s="273"/>
      <c r="N62" s="273"/>
      <c r="O62" s="273"/>
      <c r="P62" s="273"/>
      <c r="Q62" s="273"/>
      <c r="R62" s="273"/>
      <c r="S62" s="273"/>
      <c r="T62" s="273"/>
      <c r="U62" s="273"/>
      <c r="V62" s="273"/>
      <c r="W62" s="273"/>
    </row>
    <row r="63" spans="1:23" s="274" customFormat="1" ht="25.5">
      <c r="A63" s="3709" t="s">
        <v>2108</v>
      </c>
      <c r="B63" s="3676" t="s">
        <v>2109</v>
      </c>
      <c r="C63" s="3677">
        <f>'CONT EXECUTIE  '!C107</f>
        <v>0</v>
      </c>
      <c r="D63" s="3677">
        <f>'CONT EXECUTIE  '!D107</f>
        <v>0</v>
      </c>
      <c r="E63" s="3677">
        <f>'CONT EXECUTIE  '!E107</f>
        <v>0</v>
      </c>
      <c r="F63" s="3677">
        <f>'CONT EXECUTIE  '!F107</f>
        <v>0</v>
      </c>
      <c r="G63" s="3677">
        <f>+'CONT EXECUTIE  '!G107</f>
        <v>0</v>
      </c>
      <c r="H63" s="3677">
        <f>+'CONT EXECUTIE  '!H107</f>
        <v>0</v>
      </c>
      <c r="I63" s="3677">
        <f>+'CONT EXECUTIE  '!K107</f>
        <v>0</v>
      </c>
      <c r="J63" s="3677">
        <f>'CONT EXECUTIE  '!L107</f>
        <v>0</v>
      </c>
      <c r="K63" s="3708">
        <f>'CONT EXECUTIE  '!M107</f>
        <v>0</v>
      </c>
      <c r="L63" s="272"/>
      <c r="M63" s="273"/>
      <c r="N63" s="273"/>
      <c r="O63" s="273"/>
      <c r="P63" s="273"/>
      <c r="Q63" s="273"/>
      <c r="R63" s="273"/>
      <c r="S63" s="273"/>
      <c r="T63" s="273"/>
      <c r="U63" s="273"/>
      <c r="V63" s="273"/>
      <c r="W63" s="273"/>
    </row>
    <row r="64" spans="1:23" s="274" customFormat="1" ht="18" customHeight="1">
      <c r="A64" s="3710" t="s">
        <v>975</v>
      </c>
      <c r="B64" s="3678" t="s">
        <v>2110</v>
      </c>
      <c r="C64" s="3430">
        <f>'CONT EXECUTIE  '!C108</f>
        <v>0</v>
      </c>
      <c r="D64" s="3430">
        <f>'CONT EXECUTIE  '!D108</f>
        <v>0</v>
      </c>
      <c r="E64" s="3430">
        <f>'CONT EXECUTIE  '!E108</f>
        <v>0</v>
      </c>
      <c r="F64" s="3430">
        <f>'CONT EXECUTIE  '!F108</f>
        <v>0</v>
      </c>
      <c r="G64" s="3430">
        <f>'CONT EXECUTIE  '!G108</f>
        <v>0</v>
      </c>
      <c r="H64" s="3430">
        <f>'CONT EXECUTIE  '!H108</f>
        <v>0</v>
      </c>
      <c r="I64" s="3430">
        <f>'CONT EXECUTIE  '!K108</f>
        <v>0</v>
      </c>
      <c r="J64" s="3430">
        <f>'CONT EXECUTIE  '!L108</f>
        <v>0</v>
      </c>
      <c r="K64" s="3711">
        <f>'CONT EXECUTIE  '!M108</f>
        <v>0</v>
      </c>
      <c r="L64" s="272"/>
      <c r="M64" s="273"/>
      <c r="N64" s="273"/>
      <c r="O64" s="273"/>
      <c r="P64" s="273"/>
      <c r="Q64" s="273"/>
      <c r="R64" s="273"/>
      <c r="S64" s="273"/>
      <c r="T64" s="273"/>
      <c r="U64" s="273"/>
      <c r="V64" s="273"/>
      <c r="W64" s="273"/>
    </row>
    <row r="65" spans="1:23" s="274" customFormat="1" ht="18" customHeight="1">
      <c r="A65" s="3710" t="s">
        <v>976</v>
      </c>
      <c r="B65" s="3678" t="s">
        <v>2111</v>
      </c>
      <c r="C65" s="3430">
        <f>'CONT EXECUTIE  '!C109</f>
        <v>0</v>
      </c>
      <c r="D65" s="3430">
        <f>'CONT EXECUTIE  '!D109</f>
        <v>0</v>
      </c>
      <c r="E65" s="3430">
        <f>'CONT EXECUTIE  '!E109</f>
        <v>0</v>
      </c>
      <c r="F65" s="3430">
        <f>'CONT EXECUTIE  '!F109</f>
        <v>0</v>
      </c>
      <c r="G65" s="3430">
        <f>'CONT EXECUTIE  '!G109</f>
        <v>0</v>
      </c>
      <c r="H65" s="3430">
        <f>'CONT EXECUTIE  '!H109</f>
        <v>0</v>
      </c>
      <c r="I65" s="3430">
        <f>'CONT EXECUTIE  '!K109</f>
        <v>0</v>
      </c>
      <c r="J65" s="3430">
        <f>'CONT EXECUTIE  '!L109</f>
        <v>0</v>
      </c>
      <c r="K65" s="3711">
        <f>'CONT EXECUTIE  '!M109</f>
        <v>0</v>
      </c>
      <c r="L65" s="272"/>
      <c r="M65" s="273"/>
      <c r="N65" s="273"/>
      <c r="O65" s="273"/>
      <c r="P65" s="273"/>
      <c r="Q65" s="273"/>
      <c r="R65" s="273"/>
      <c r="S65" s="273"/>
      <c r="T65" s="273"/>
      <c r="U65" s="273"/>
      <c r="V65" s="273"/>
      <c r="W65" s="273"/>
    </row>
    <row r="66" spans="1:23" s="274" customFormat="1" ht="25.5">
      <c r="A66" s="3707" t="s">
        <v>977</v>
      </c>
      <c r="B66" s="3676" t="s">
        <v>978</v>
      </c>
      <c r="C66" s="3677">
        <f>'CONT EXECUTIE  '!C111</f>
        <v>0</v>
      </c>
      <c r="D66" s="3677">
        <f>'CONT EXECUTIE  '!D111</f>
        <v>0</v>
      </c>
      <c r="E66" s="3677">
        <f>'CONT EXECUTIE  '!E111</f>
        <v>0</v>
      </c>
      <c r="F66" s="3677">
        <f>'CONT EXECUTIE  '!F111</f>
        <v>0</v>
      </c>
      <c r="G66" s="3677">
        <f>'CONT EXECUTIE  '!G111</f>
        <v>0</v>
      </c>
      <c r="H66" s="3677">
        <f>'CONT EXECUTIE  '!H111</f>
        <v>0</v>
      </c>
      <c r="I66" s="3677">
        <f>'CONT EXECUTIE  '!K111</f>
        <v>0</v>
      </c>
      <c r="J66" s="3677">
        <f>'CONT EXECUTIE  '!L111</f>
        <v>0</v>
      </c>
      <c r="K66" s="3708">
        <f>'CONT EXECUTIE  '!M111</f>
        <v>0</v>
      </c>
      <c r="L66" s="272"/>
      <c r="M66" s="273"/>
      <c r="N66" s="273"/>
      <c r="O66" s="273"/>
      <c r="P66" s="273"/>
      <c r="Q66" s="273"/>
      <c r="R66" s="273"/>
      <c r="S66" s="273"/>
      <c r="T66" s="273"/>
      <c r="U66" s="273"/>
      <c r="V66" s="273"/>
      <c r="W66" s="273"/>
    </row>
    <row r="67" spans="1:23" s="271" customFormat="1" ht="18" customHeight="1">
      <c r="A67" s="3116" t="s">
        <v>975</v>
      </c>
      <c r="B67" s="3429" t="s">
        <v>979</v>
      </c>
      <c r="C67" s="3430">
        <f>'CONT EXECUTIE  '!C112</f>
        <v>0</v>
      </c>
      <c r="D67" s="3430">
        <f>'CONT EXECUTIE  '!D112</f>
        <v>0</v>
      </c>
      <c r="E67" s="3430">
        <f>'CONT EXECUTIE  '!E112</f>
        <v>0</v>
      </c>
      <c r="F67" s="3430">
        <f>'CONT EXECUTIE  '!F112</f>
        <v>0</v>
      </c>
      <c r="G67" s="3430">
        <f>'CONT EXECUTIE  '!G112</f>
        <v>0</v>
      </c>
      <c r="H67" s="3430">
        <f>'CONT EXECUTIE  '!H112</f>
        <v>0</v>
      </c>
      <c r="I67" s="3430">
        <f>'CONT EXECUTIE  '!K112</f>
        <v>0</v>
      </c>
      <c r="J67" s="3430">
        <f>'CONT EXECUTIE  '!L112</f>
        <v>0</v>
      </c>
      <c r="K67" s="3711">
        <f>'CONT EXECUTIE  '!M112</f>
        <v>0</v>
      </c>
      <c r="L67" s="270"/>
      <c r="M67" s="259"/>
      <c r="N67" s="259"/>
      <c r="O67" s="259"/>
      <c r="P67" s="259"/>
      <c r="Q67" s="259"/>
      <c r="R67" s="259"/>
      <c r="S67" s="259"/>
      <c r="T67" s="259"/>
      <c r="U67" s="259"/>
      <c r="V67" s="259"/>
      <c r="W67" s="259"/>
    </row>
    <row r="68" spans="1:23" s="271" customFormat="1" ht="18" customHeight="1">
      <c r="A68" s="3116" t="s">
        <v>976</v>
      </c>
      <c r="B68" s="3429" t="s">
        <v>1858</v>
      </c>
      <c r="C68" s="3430">
        <f>'CONT EXECUTIE  '!C113</f>
        <v>0</v>
      </c>
      <c r="D68" s="3430">
        <f>'CONT EXECUTIE  '!D113</f>
        <v>0</v>
      </c>
      <c r="E68" s="3430">
        <f>'CONT EXECUTIE  '!E113</f>
        <v>0</v>
      </c>
      <c r="F68" s="3430">
        <f>'CONT EXECUTIE  '!F113</f>
        <v>0</v>
      </c>
      <c r="G68" s="3430">
        <f>'CONT EXECUTIE  '!G113</f>
        <v>0</v>
      </c>
      <c r="H68" s="3430">
        <f>'CONT EXECUTIE  '!H113</f>
        <v>0</v>
      </c>
      <c r="I68" s="3430">
        <f>'CONT EXECUTIE  '!K113</f>
        <v>0</v>
      </c>
      <c r="J68" s="3430">
        <f>'CONT EXECUTIE  '!L113</f>
        <v>0</v>
      </c>
      <c r="K68" s="3711">
        <f>'CONT EXECUTIE  '!M113</f>
        <v>0</v>
      </c>
      <c r="L68" s="270"/>
      <c r="M68" s="259"/>
      <c r="N68" s="259"/>
      <c r="O68" s="259"/>
      <c r="P68" s="259"/>
      <c r="Q68" s="259"/>
      <c r="R68" s="259"/>
      <c r="S68" s="259"/>
      <c r="T68" s="259"/>
      <c r="U68" s="259"/>
      <c r="V68" s="259"/>
      <c r="W68" s="259"/>
    </row>
    <row r="69" spans="1:23" s="271" customFormat="1" ht="18" customHeight="1">
      <c r="A69" s="3116" t="s">
        <v>1860</v>
      </c>
      <c r="B69" s="3429" t="s">
        <v>1859</v>
      </c>
      <c r="C69" s="3430">
        <f>'CONT EXECUTIE  '!C114</f>
        <v>0</v>
      </c>
      <c r="D69" s="3430">
        <f>'CONT EXECUTIE  '!D114</f>
        <v>0</v>
      </c>
      <c r="E69" s="3430">
        <f>'CONT EXECUTIE  '!E114</f>
        <v>0</v>
      </c>
      <c r="F69" s="3430">
        <f>'CONT EXECUTIE  '!F114</f>
        <v>0</v>
      </c>
      <c r="G69" s="3430">
        <f>'CONT EXECUTIE  '!G114</f>
        <v>0</v>
      </c>
      <c r="H69" s="3430">
        <f>'CONT EXECUTIE  '!H114</f>
        <v>0</v>
      </c>
      <c r="I69" s="3430">
        <f>'CONT EXECUTIE  '!K114</f>
        <v>0</v>
      </c>
      <c r="J69" s="3430">
        <f>'CONT EXECUTIE  '!L114</f>
        <v>0</v>
      </c>
      <c r="K69" s="3711">
        <f>'CONT EXECUTIE  '!M114</f>
        <v>0</v>
      </c>
      <c r="L69" s="270"/>
      <c r="M69" s="259"/>
      <c r="N69" s="259"/>
      <c r="O69" s="259"/>
      <c r="P69" s="259"/>
      <c r="Q69" s="259"/>
      <c r="R69" s="259"/>
      <c r="S69" s="259"/>
      <c r="T69" s="259"/>
      <c r="U69" s="259"/>
      <c r="V69" s="259"/>
      <c r="W69" s="259"/>
    </row>
    <row r="70" spans="1:23" s="271" customFormat="1" ht="25.5">
      <c r="A70" s="3146" t="s">
        <v>1954</v>
      </c>
      <c r="B70" s="3431" t="s">
        <v>2574</v>
      </c>
      <c r="C70" s="3432">
        <f>'CONT EXECUTIE  '!C115</f>
        <v>0</v>
      </c>
      <c r="D70" s="3432">
        <f>'CONT EXECUTIE  '!D115</f>
        <v>0</v>
      </c>
      <c r="E70" s="3432">
        <f>'CONT EXECUTIE  '!E115</f>
        <v>0</v>
      </c>
      <c r="F70" s="3432">
        <f>'CONT EXECUTIE  '!F115</f>
        <v>0</v>
      </c>
      <c r="G70" s="3432">
        <f>'CONT EXECUTIE  '!G115</f>
        <v>0</v>
      </c>
      <c r="H70" s="3432">
        <f>'CONT EXECUTIE  '!H115</f>
        <v>0</v>
      </c>
      <c r="I70" s="3432">
        <f>'CONT EXECUTIE  '!K115</f>
        <v>0</v>
      </c>
      <c r="J70" s="3432">
        <f t="shared" ref="J70:J73" si="27">H70-I70</f>
        <v>0</v>
      </c>
      <c r="K70" s="3712">
        <f>'CONT EXECUTIE  '!M115</f>
        <v>0</v>
      </c>
      <c r="L70" s="270"/>
      <c r="M70" s="259"/>
      <c r="N70" s="259"/>
      <c r="O70" s="259"/>
      <c r="P70" s="259"/>
      <c r="Q70" s="259"/>
      <c r="R70" s="259"/>
      <c r="S70" s="259"/>
      <c r="T70" s="259"/>
      <c r="U70" s="259"/>
      <c r="V70" s="259"/>
      <c r="W70" s="259"/>
    </row>
    <row r="71" spans="1:23" s="271" customFormat="1" ht="18" customHeight="1">
      <c r="A71" s="3116" t="s">
        <v>975</v>
      </c>
      <c r="B71" s="3429" t="s">
        <v>2575</v>
      </c>
      <c r="C71" s="3430">
        <f>'CONT EXECUTIE  '!C116</f>
        <v>0</v>
      </c>
      <c r="D71" s="3430">
        <f>'CONT EXECUTIE  '!D116</f>
        <v>0</v>
      </c>
      <c r="E71" s="3430">
        <f>'CONT EXECUTIE  '!E116</f>
        <v>0</v>
      </c>
      <c r="F71" s="3430">
        <f>'CONT EXECUTIE  '!F116</f>
        <v>0</v>
      </c>
      <c r="G71" s="3430">
        <f>'CONT EXECUTIE  '!G116</f>
        <v>0</v>
      </c>
      <c r="H71" s="3430">
        <f>'CONT EXECUTIE  '!H116</f>
        <v>0</v>
      </c>
      <c r="I71" s="3430">
        <f>'CONT EXECUTIE  '!K116</f>
        <v>0</v>
      </c>
      <c r="J71" s="3430">
        <f t="shared" si="27"/>
        <v>0</v>
      </c>
      <c r="K71" s="3711">
        <f>'CONT EXECUTIE  '!M116</f>
        <v>0</v>
      </c>
      <c r="L71" s="270"/>
      <c r="M71" s="259"/>
      <c r="N71" s="259"/>
      <c r="O71" s="259"/>
      <c r="P71" s="259"/>
      <c r="Q71" s="259"/>
      <c r="R71" s="259"/>
      <c r="S71" s="259"/>
      <c r="T71" s="259"/>
      <c r="U71" s="259"/>
      <c r="V71" s="259"/>
      <c r="W71" s="259"/>
    </row>
    <row r="72" spans="1:23" s="271" customFormat="1" ht="18" customHeight="1">
      <c r="A72" s="3116" t="s">
        <v>976</v>
      </c>
      <c r="B72" s="3429" t="s">
        <v>2576</v>
      </c>
      <c r="C72" s="3430">
        <f>'CONT EXECUTIE  '!C117</f>
        <v>0</v>
      </c>
      <c r="D72" s="3430">
        <f>'CONT EXECUTIE  '!D117</f>
        <v>0</v>
      </c>
      <c r="E72" s="3430">
        <f>'CONT EXECUTIE  '!E117</f>
        <v>0</v>
      </c>
      <c r="F72" s="3430">
        <f>'CONT EXECUTIE  '!F117</f>
        <v>0</v>
      </c>
      <c r="G72" s="3430">
        <f>'CONT EXECUTIE  '!G117</f>
        <v>0</v>
      </c>
      <c r="H72" s="3430">
        <f>'CONT EXECUTIE  '!H117</f>
        <v>0</v>
      </c>
      <c r="I72" s="3430">
        <f>'CONT EXECUTIE  '!K117</f>
        <v>0</v>
      </c>
      <c r="J72" s="3430">
        <f t="shared" si="27"/>
        <v>0</v>
      </c>
      <c r="K72" s="3711">
        <f>'CONT EXECUTIE  '!M117</f>
        <v>0</v>
      </c>
      <c r="L72" s="270"/>
      <c r="M72" s="259"/>
      <c r="N72" s="259"/>
      <c r="O72" s="259"/>
      <c r="P72" s="259"/>
      <c r="Q72" s="259"/>
      <c r="R72" s="259"/>
      <c r="S72" s="259"/>
      <c r="T72" s="259"/>
      <c r="U72" s="259"/>
      <c r="V72" s="259"/>
      <c r="W72" s="259"/>
    </row>
    <row r="73" spans="1:23" s="271" customFormat="1" ht="18" customHeight="1">
      <c r="A73" s="3116" t="s">
        <v>1860</v>
      </c>
      <c r="B73" s="3429" t="s">
        <v>2577</v>
      </c>
      <c r="C73" s="3430">
        <f>'CONT EXECUTIE  '!C118</f>
        <v>0</v>
      </c>
      <c r="D73" s="3430">
        <f>'CONT EXECUTIE  '!D118</f>
        <v>0</v>
      </c>
      <c r="E73" s="3430">
        <f>'CONT EXECUTIE  '!E118</f>
        <v>0</v>
      </c>
      <c r="F73" s="3430">
        <f>'CONT EXECUTIE  '!F118</f>
        <v>0</v>
      </c>
      <c r="G73" s="3430">
        <f>'CONT EXECUTIE  '!G118</f>
        <v>0</v>
      </c>
      <c r="H73" s="3430">
        <f>'CONT EXECUTIE  '!H118</f>
        <v>0</v>
      </c>
      <c r="I73" s="3430">
        <f>'CONT EXECUTIE  '!K118</f>
        <v>0</v>
      </c>
      <c r="J73" s="3430">
        <f t="shared" si="27"/>
        <v>0</v>
      </c>
      <c r="K73" s="3711">
        <f>'CONT EXECUTIE  '!M118</f>
        <v>0</v>
      </c>
      <c r="L73" s="270"/>
      <c r="M73" s="259"/>
      <c r="N73" s="259"/>
      <c r="O73" s="259"/>
      <c r="P73" s="259"/>
      <c r="Q73" s="259"/>
      <c r="R73" s="259"/>
      <c r="S73" s="259"/>
      <c r="T73" s="259"/>
      <c r="U73" s="259"/>
      <c r="V73" s="259"/>
      <c r="W73" s="259"/>
    </row>
    <row r="74" spans="1:23" s="277" customFormat="1" ht="18" customHeight="1">
      <c r="A74" s="3146" t="s">
        <v>980</v>
      </c>
      <c r="B74" s="3431" t="s">
        <v>981</v>
      </c>
      <c r="C74" s="3671">
        <f t="shared" ref="C74:K74" si="28">+C75+C76</f>
        <v>0</v>
      </c>
      <c r="D74" s="3671">
        <f>+D75+D76</f>
        <v>0</v>
      </c>
      <c r="E74" s="3671">
        <f t="shared" si="28"/>
        <v>0</v>
      </c>
      <c r="F74" s="3671">
        <f t="shared" si="28"/>
        <v>0</v>
      </c>
      <c r="G74" s="3671">
        <f t="shared" ref="G74:H74" si="29">+G75+G76</f>
        <v>0</v>
      </c>
      <c r="H74" s="3671">
        <f t="shared" si="29"/>
        <v>0</v>
      </c>
      <c r="I74" s="3671">
        <f t="shared" si="28"/>
        <v>0</v>
      </c>
      <c r="J74" s="3671">
        <f t="shared" si="28"/>
        <v>0</v>
      </c>
      <c r="K74" s="3695">
        <f t="shared" si="28"/>
        <v>0</v>
      </c>
      <c r="L74" s="275"/>
      <c r="M74" s="276"/>
      <c r="N74" s="276"/>
      <c r="O74" s="276"/>
      <c r="P74" s="276"/>
      <c r="Q74" s="276"/>
      <c r="R74" s="276"/>
      <c r="S74" s="276"/>
      <c r="T74" s="276"/>
      <c r="U74" s="276"/>
      <c r="V74" s="276"/>
      <c r="W74" s="276"/>
    </row>
    <row r="75" spans="1:23" s="271" customFormat="1" ht="18" customHeight="1">
      <c r="A75" s="3116" t="s">
        <v>982</v>
      </c>
      <c r="B75" s="3429" t="s">
        <v>983</v>
      </c>
      <c r="C75" s="3672">
        <f>+'CONT EXECUTIE  '!C120</f>
        <v>0</v>
      </c>
      <c r="D75" s="3672">
        <f>+'CONT EXECUTIE  '!D120</f>
        <v>0</v>
      </c>
      <c r="E75" s="3672">
        <f>+'CONT EXECUTIE  '!E120</f>
        <v>0</v>
      </c>
      <c r="F75" s="3672">
        <f>+'CONT EXECUTIE  '!F120</f>
        <v>0</v>
      </c>
      <c r="G75" s="3672">
        <f>+'CONT EXECUTIE  '!G120</f>
        <v>0</v>
      </c>
      <c r="H75" s="3672">
        <f>+'CONT EXECUTIE  '!H120</f>
        <v>0</v>
      </c>
      <c r="I75" s="3672">
        <f>+'CONT EXECUTIE  '!K120</f>
        <v>0</v>
      </c>
      <c r="J75" s="3672">
        <f>+'CONT EXECUTIE  '!L120</f>
        <v>0</v>
      </c>
      <c r="K75" s="3706">
        <f>+'CONT EXECUTIE  '!M120</f>
        <v>0</v>
      </c>
      <c r="L75" s="270"/>
      <c r="M75" s="259"/>
      <c r="N75" s="259"/>
      <c r="O75" s="259"/>
      <c r="P75" s="259"/>
      <c r="Q75" s="259"/>
      <c r="R75" s="259"/>
      <c r="S75" s="259"/>
      <c r="T75" s="259"/>
      <c r="U75" s="259"/>
      <c r="V75" s="259"/>
      <c r="W75" s="259"/>
    </row>
    <row r="76" spans="1:23" s="271" customFormat="1" ht="25.5">
      <c r="A76" s="3116" t="s">
        <v>1864</v>
      </c>
      <c r="B76" s="3429" t="s">
        <v>1863</v>
      </c>
      <c r="C76" s="3672">
        <f>+'CONT EXECUTIE  '!C121</f>
        <v>0</v>
      </c>
      <c r="D76" s="3672">
        <f>+'CONT EXECUTIE  '!D121</f>
        <v>0</v>
      </c>
      <c r="E76" s="3672">
        <f>+'CONT EXECUTIE  '!E121</f>
        <v>0</v>
      </c>
      <c r="F76" s="3672">
        <f>+'CONT EXECUTIE  '!F121</f>
        <v>0</v>
      </c>
      <c r="G76" s="3672">
        <f>+'CONT EXECUTIE  '!G121</f>
        <v>0</v>
      </c>
      <c r="H76" s="3672">
        <f>+'CONT EXECUTIE  '!H121</f>
        <v>0</v>
      </c>
      <c r="I76" s="3672">
        <f>+'CONT EXECUTIE  '!K121</f>
        <v>0</v>
      </c>
      <c r="J76" s="3672">
        <f>+'CONT EXECUTIE  '!L121</f>
        <v>0</v>
      </c>
      <c r="K76" s="3706">
        <f>+'CONT EXECUTIE  '!M121</f>
        <v>0</v>
      </c>
      <c r="L76" s="270"/>
      <c r="M76" s="259"/>
      <c r="N76" s="259"/>
      <c r="O76" s="259"/>
      <c r="P76" s="259"/>
      <c r="Q76" s="259"/>
      <c r="R76" s="259"/>
      <c r="S76" s="259"/>
      <c r="T76" s="259"/>
      <c r="U76" s="259"/>
      <c r="V76" s="259"/>
      <c r="W76" s="259"/>
    </row>
    <row r="77" spans="1:23" s="265" customFormat="1" ht="27.6" customHeight="1">
      <c r="A77" s="3713" t="s">
        <v>984</v>
      </c>
      <c r="B77" s="3679" t="s">
        <v>985</v>
      </c>
      <c r="C77" s="3672">
        <f t="shared" ref="C77:K77" si="30">C78</f>
        <v>0</v>
      </c>
      <c r="D77" s="3672">
        <f t="shared" si="30"/>
        <v>0</v>
      </c>
      <c r="E77" s="3672">
        <f t="shared" si="30"/>
        <v>0</v>
      </c>
      <c r="F77" s="3672">
        <f t="shared" si="30"/>
        <v>0</v>
      </c>
      <c r="G77" s="3672">
        <f t="shared" si="30"/>
        <v>0</v>
      </c>
      <c r="H77" s="3672">
        <f t="shared" si="30"/>
        <v>0</v>
      </c>
      <c r="I77" s="3672">
        <f t="shared" si="30"/>
        <v>0</v>
      </c>
      <c r="J77" s="3672">
        <f t="shared" si="30"/>
        <v>0</v>
      </c>
      <c r="K77" s="3706">
        <f t="shared" si="30"/>
        <v>0</v>
      </c>
      <c r="L77" s="266"/>
      <c r="M77" s="260"/>
      <c r="N77" s="260"/>
      <c r="O77" s="260"/>
      <c r="P77" s="260"/>
      <c r="Q77" s="260"/>
      <c r="R77" s="260"/>
      <c r="S77" s="260"/>
      <c r="T77" s="260"/>
      <c r="U77" s="260"/>
      <c r="V77" s="260"/>
      <c r="W77" s="260"/>
    </row>
    <row r="78" spans="1:23" s="265" customFormat="1" ht="24">
      <c r="A78" s="3714" t="s">
        <v>986</v>
      </c>
      <c r="B78" s="3664" t="s">
        <v>987</v>
      </c>
      <c r="C78" s="3674">
        <f t="shared" ref="C78:K78" si="31">ROUND(C79,1)</f>
        <v>0</v>
      </c>
      <c r="D78" s="3674">
        <f t="shared" si="31"/>
        <v>0</v>
      </c>
      <c r="E78" s="3674">
        <f t="shared" si="31"/>
        <v>0</v>
      </c>
      <c r="F78" s="3674">
        <f t="shared" si="31"/>
        <v>0</v>
      </c>
      <c r="G78" s="3674">
        <f t="shared" si="31"/>
        <v>0</v>
      </c>
      <c r="H78" s="3674">
        <f t="shared" si="31"/>
        <v>0</v>
      </c>
      <c r="I78" s="3674">
        <f t="shared" si="31"/>
        <v>0</v>
      </c>
      <c r="J78" s="3674">
        <f t="shared" si="31"/>
        <v>0</v>
      </c>
      <c r="K78" s="3704">
        <f t="shared" si="31"/>
        <v>0</v>
      </c>
      <c r="L78" s="266"/>
      <c r="M78" s="260"/>
      <c r="N78" s="260"/>
      <c r="O78" s="260"/>
      <c r="P78" s="260"/>
      <c r="Q78" s="260"/>
      <c r="R78" s="260"/>
      <c r="S78" s="260"/>
      <c r="T78" s="260"/>
      <c r="U78" s="260"/>
      <c r="V78" s="260"/>
      <c r="W78" s="260"/>
    </row>
    <row r="79" spans="1:23" s="265" customFormat="1" ht="18" customHeight="1">
      <c r="A79" s="3715" t="s">
        <v>988</v>
      </c>
      <c r="B79" s="3666" t="s">
        <v>989</v>
      </c>
      <c r="C79" s="3672"/>
      <c r="D79" s="3672"/>
      <c r="E79" s="3667"/>
      <c r="F79" s="3667"/>
      <c r="G79" s="3667"/>
      <c r="H79" s="3667"/>
      <c r="I79" s="3667"/>
      <c r="J79" s="3667"/>
      <c r="K79" s="3697"/>
      <c r="L79" s="266"/>
      <c r="M79" s="260"/>
      <c r="N79" s="260"/>
      <c r="O79" s="260"/>
      <c r="P79" s="260"/>
      <c r="Q79" s="260"/>
      <c r="R79" s="260"/>
      <c r="S79" s="260"/>
      <c r="T79" s="260"/>
      <c r="U79" s="260"/>
      <c r="V79" s="260"/>
      <c r="W79" s="260"/>
    </row>
    <row r="80" spans="1:23" s="265" customFormat="1" ht="28.15" customHeight="1">
      <c r="A80" s="3692" t="s">
        <v>990</v>
      </c>
      <c r="B80" s="3664" t="s">
        <v>873</v>
      </c>
      <c r="C80" s="3671">
        <f t="shared" ref="C80:K80" si="32">ROUND(C81,1)</f>
        <v>602000</v>
      </c>
      <c r="D80" s="3671">
        <f t="shared" si="32"/>
        <v>302000</v>
      </c>
      <c r="E80" s="3671">
        <f t="shared" si="32"/>
        <v>602000</v>
      </c>
      <c r="F80" s="3671">
        <f t="shared" si="32"/>
        <v>302000</v>
      </c>
      <c r="G80" s="3671">
        <f t="shared" si="32"/>
        <v>0</v>
      </c>
      <c r="H80" s="3671">
        <f t="shared" si="32"/>
        <v>0</v>
      </c>
      <c r="I80" s="3671">
        <f t="shared" si="32"/>
        <v>0</v>
      </c>
      <c r="J80" s="3671">
        <f t="shared" si="32"/>
        <v>0</v>
      </c>
      <c r="K80" s="3716">
        <f t="shared" si="32"/>
        <v>25868</v>
      </c>
      <c r="L80" s="266"/>
      <c r="M80" s="260"/>
      <c r="N80" s="260"/>
      <c r="O80" s="260"/>
      <c r="P80" s="260"/>
      <c r="Q80" s="260"/>
      <c r="R80" s="260"/>
      <c r="S80" s="260"/>
      <c r="T80" s="260"/>
      <c r="U80" s="260"/>
      <c r="V80" s="260"/>
      <c r="W80" s="260"/>
    </row>
    <row r="81" spans="1:23" s="265" customFormat="1" ht="32.450000000000003" customHeight="1">
      <c r="A81" s="3692" t="s">
        <v>2429</v>
      </c>
      <c r="B81" s="3664" t="s">
        <v>874</v>
      </c>
      <c r="C81" s="3671">
        <f t="shared" ref="C81:K81" si="33">C82+C87</f>
        <v>602000</v>
      </c>
      <c r="D81" s="3671">
        <f>D82+D87</f>
        <v>302000</v>
      </c>
      <c r="E81" s="3671">
        <f t="shared" si="33"/>
        <v>602000</v>
      </c>
      <c r="F81" s="3671">
        <f t="shared" si="33"/>
        <v>302000</v>
      </c>
      <c r="G81" s="3671">
        <f t="shared" ref="G81:H81" si="34">G82+G87</f>
        <v>0</v>
      </c>
      <c r="H81" s="3671">
        <f t="shared" si="34"/>
        <v>0</v>
      </c>
      <c r="I81" s="3671">
        <f t="shared" si="33"/>
        <v>0</v>
      </c>
      <c r="J81" s="3671">
        <f t="shared" si="33"/>
        <v>0</v>
      </c>
      <c r="K81" s="3716">
        <f t="shared" si="33"/>
        <v>25868</v>
      </c>
      <c r="L81" s="266"/>
      <c r="M81" s="260"/>
      <c r="N81" s="260"/>
      <c r="O81" s="260"/>
      <c r="P81" s="260"/>
      <c r="Q81" s="260"/>
      <c r="R81" s="260"/>
      <c r="S81" s="260"/>
      <c r="T81" s="260"/>
      <c r="U81" s="260"/>
      <c r="V81" s="260"/>
      <c r="W81" s="260"/>
    </row>
    <row r="82" spans="1:23" s="265" customFormat="1" ht="21" customHeight="1">
      <c r="A82" s="3720" t="s">
        <v>991</v>
      </c>
      <c r="B82" s="3721" t="s">
        <v>875</v>
      </c>
      <c r="C82" s="3722">
        <f t="shared" ref="C82:K82" si="35">ROUND(SUM(C83:C86),1)</f>
        <v>2000</v>
      </c>
      <c r="D82" s="3722">
        <f>ROUND(SUM(D83:D86),1)</f>
        <v>2000</v>
      </c>
      <c r="E82" s="3723">
        <f t="shared" si="35"/>
        <v>2000</v>
      </c>
      <c r="F82" s="3723">
        <f t="shared" si="35"/>
        <v>2000</v>
      </c>
      <c r="G82" s="3723">
        <f t="shared" ref="G82:H82" si="36">ROUND(SUM(G83:G86),1)</f>
        <v>0</v>
      </c>
      <c r="H82" s="3723">
        <f t="shared" si="36"/>
        <v>0</v>
      </c>
      <c r="I82" s="3723">
        <f t="shared" si="35"/>
        <v>0</v>
      </c>
      <c r="J82" s="3723">
        <f t="shared" si="35"/>
        <v>0</v>
      </c>
      <c r="K82" s="3740">
        <f t="shared" si="35"/>
        <v>25868</v>
      </c>
      <c r="L82" s="266"/>
      <c r="M82" s="260"/>
      <c r="N82" s="260"/>
      <c r="O82" s="260"/>
      <c r="P82" s="260"/>
      <c r="Q82" s="260"/>
      <c r="R82" s="260"/>
      <c r="S82" s="260"/>
      <c r="T82" s="260"/>
      <c r="U82" s="260"/>
      <c r="V82" s="260"/>
      <c r="W82" s="260"/>
    </row>
    <row r="83" spans="1:23" s="265" customFormat="1" ht="18" customHeight="1">
      <c r="A83" s="3726" t="s">
        <v>992</v>
      </c>
      <c r="B83" s="3727" t="s">
        <v>993</v>
      </c>
      <c r="C83" s="3728">
        <f>'CONT EXECUTIE  '!C125</f>
        <v>0</v>
      </c>
      <c r="D83" s="3728">
        <f>'CONT EXECUTIE  '!D125</f>
        <v>0</v>
      </c>
      <c r="E83" s="3728">
        <f>'CONT EXECUTIE  '!E125</f>
        <v>0</v>
      </c>
      <c r="F83" s="3728">
        <f>'CONT EXECUTIE  '!F125</f>
        <v>0</v>
      </c>
      <c r="G83" s="3728">
        <f>'CONT EXECUTIE  '!G125</f>
        <v>0</v>
      </c>
      <c r="H83" s="3728">
        <f>'CONT EXECUTIE  '!H125</f>
        <v>0</v>
      </c>
      <c r="I83" s="3729">
        <f>'CONT EXECUTIE  '!K125</f>
        <v>0</v>
      </c>
      <c r="J83" s="3729">
        <f>H83-I83</f>
        <v>0</v>
      </c>
      <c r="K83" s="3730">
        <f>'CONT EXECUTIE  '!M125</f>
        <v>19697</v>
      </c>
      <c r="L83" s="266"/>
      <c r="M83" s="260"/>
      <c r="N83" s="260"/>
      <c r="O83" s="260"/>
      <c r="P83" s="260"/>
      <c r="Q83" s="260"/>
      <c r="R83" s="260"/>
      <c r="S83" s="260"/>
      <c r="T83" s="260"/>
      <c r="U83" s="260"/>
      <c r="V83" s="260"/>
      <c r="W83" s="260"/>
    </row>
    <row r="84" spans="1:23" s="265" customFormat="1" ht="24">
      <c r="A84" s="3696" t="s">
        <v>876</v>
      </c>
      <c r="B84" s="3666" t="s">
        <v>877</v>
      </c>
      <c r="C84" s="3672">
        <f>'CONT EXECUTIE  '!C126</f>
        <v>0</v>
      </c>
      <c r="D84" s="3672">
        <f>'CONT EXECUTIE  '!D126</f>
        <v>0</v>
      </c>
      <c r="E84" s="3672">
        <f>'CONT EXECUTIE  '!E126</f>
        <v>0</v>
      </c>
      <c r="F84" s="3672">
        <f>'CONT EXECUTIE  '!F126</f>
        <v>0</v>
      </c>
      <c r="G84" s="3672">
        <f>'CONT EXECUTIE  '!G126</f>
        <v>0</v>
      </c>
      <c r="H84" s="3672">
        <f>'CONT EXECUTIE  '!H126</f>
        <v>0</v>
      </c>
      <c r="I84" s="3667">
        <f>'CONT EXECUTIE  '!K126</f>
        <v>0</v>
      </c>
      <c r="J84" s="3667">
        <f>H84-I84</f>
        <v>0</v>
      </c>
      <c r="K84" s="3697">
        <f>'CONT EXECUTIE  '!M126</f>
        <v>3282</v>
      </c>
      <c r="L84" s="266"/>
      <c r="M84" s="260"/>
      <c r="N84" s="260"/>
      <c r="O84" s="260"/>
      <c r="P84" s="260"/>
      <c r="Q84" s="260"/>
      <c r="R84" s="260"/>
      <c r="S84" s="260"/>
      <c r="T84" s="260"/>
      <c r="U84" s="260"/>
      <c r="V84" s="260"/>
      <c r="W84" s="260"/>
    </row>
    <row r="85" spans="1:23" s="265" customFormat="1" ht="24">
      <c r="A85" s="3696" t="s">
        <v>994</v>
      </c>
      <c r="B85" s="3666" t="s">
        <v>995</v>
      </c>
      <c r="C85" s="3672">
        <f>'CONT EXECUTIE  '!C127</f>
        <v>0</v>
      </c>
      <c r="D85" s="3672">
        <f>'CONT EXECUTIE  '!D127</f>
        <v>0</v>
      </c>
      <c r="E85" s="3672">
        <f>'CONT EXECUTIE  '!E127</f>
        <v>0</v>
      </c>
      <c r="F85" s="3672">
        <f>'CONT EXECUTIE  '!F127</f>
        <v>0</v>
      </c>
      <c r="G85" s="3672">
        <f>'CONT EXECUTIE  '!G127</f>
        <v>0</v>
      </c>
      <c r="H85" s="3672">
        <f>'CONT EXECUTIE  '!H127</f>
        <v>0</v>
      </c>
      <c r="I85" s="3667">
        <f>'CONT EXECUTIE  '!K127</f>
        <v>0</v>
      </c>
      <c r="J85" s="3667">
        <f>H85-I85</f>
        <v>0</v>
      </c>
      <c r="K85" s="3697">
        <f>'CONT EXECUTIE  '!M127</f>
        <v>1489</v>
      </c>
      <c r="L85" s="266"/>
      <c r="M85" s="260"/>
      <c r="N85" s="260"/>
      <c r="O85" s="260"/>
      <c r="P85" s="260"/>
      <c r="Q85" s="260"/>
      <c r="R85" s="260"/>
      <c r="S85" s="260"/>
      <c r="T85" s="260"/>
      <c r="U85" s="260"/>
      <c r="V85" s="260"/>
      <c r="W85" s="260"/>
    </row>
    <row r="86" spans="1:23" s="265" customFormat="1" ht="18" customHeight="1">
      <c r="A86" s="3696" t="s">
        <v>996</v>
      </c>
      <c r="B86" s="3666" t="s">
        <v>997</v>
      </c>
      <c r="C86" s="3672">
        <f>'CONT EXECUTIE  '!C128</f>
        <v>2000</v>
      </c>
      <c r="D86" s="3672">
        <f>'CONT EXECUTIE  '!D128</f>
        <v>2000</v>
      </c>
      <c r="E86" s="3672">
        <f>'CONT EXECUTIE  '!E128</f>
        <v>2000</v>
      </c>
      <c r="F86" s="3672">
        <f>'CONT EXECUTIE  '!F128</f>
        <v>2000</v>
      </c>
      <c r="G86" s="3672">
        <f>'CONT EXECUTIE  '!G128</f>
        <v>0</v>
      </c>
      <c r="H86" s="3672">
        <f>'CONT EXECUTIE  '!H128</f>
        <v>0</v>
      </c>
      <c r="I86" s="3667">
        <f>'CONT EXECUTIE  '!K128</f>
        <v>0</v>
      </c>
      <c r="J86" s="3667">
        <f>H86-I86</f>
        <v>0</v>
      </c>
      <c r="K86" s="3697">
        <f>'CONT EXECUTIE  '!M128</f>
        <v>1400</v>
      </c>
      <c r="L86" s="266"/>
      <c r="M86" s="260"/>
      <c r="N86" s="260"/>
      <c r="O86" s="260"/>
      <c r="P86" s="260"/>
      <c r="Q86" s="260"/>
      <c r="R86" s="260"/>
      <c r="S86" s="260"/>
      <c r="T86" s="260"/>
      <c r="U86" s="260"/>
      <c r="V86" s="260"/>
      <c r="W86" s="260"/>
    </row>
    <row r="87" spans="1:23" s="265" customFormat="1" ht="24">
      <c r="A87" s="3692" t="s">
        <v>998</v>
      </c>
      <c r="B87" s="3664" t="s">
        <v>999</v>
      </c>
      <c r="C87" s="3671">
        <f>'CONT EXECUTIE  '!C129</f>
        <v>600000</v>
      </c>
      <c r="D87" s="3671">
        <f>'CONT EXECUTIE  '!D129</f>
        <v>300000</v>
      </c>
      <c r="E87" s="3671">
        <f>'CONT EXECUTIE  '!E129</f>
        <v>600000</v>
      </c>
      <c r="F87" s="3671">
        <f>'CONT EXECUTIE  '!F129</f>
        <v>300000</v>
      </c>
      <c r="G87" s="3671">
        <f>'CONT EXECUTIE  '!G129</f>
        <v>0</v>
      </c>
      <c r="H87" s="3671">
        <f>'CONT EXECUTIE  '!H129</f>
        <v>0</v>
      </c>
      <c r="I87" s="3665">
        <f>'CONT EXECUTIE  '!K129</f>
        <v>0</v>
      </c>
      <c r="J87" s="3665">
        <f>H87-I87</f>
        <v>0</v>
      </c>
      <c r="K87" s="3695">
        <f>'CONT EXECUTIE  '!M129</f>
        <v>0</v>
      </c>
      <c r="L87" s="266"/>
      <c r="M87" s="260"/>
      <c r="N87" s="260"/>
      <c r="O87" s="260"/>
      <c r="P87" s="260"/>
      <c r="Q87" s="260"/>
      <c r="R87" s="260"/>
      <c r="S87" s="260"/>
      <c r="T87" s="260"/>
      <c r="U87" s="260"/>
      <c r="V87" s="260"/>
      <c r="W87" s="260"/>
    </row>
    <row r="88" spans="1:23" s="265" customFormat="1" ht="36">
      <c r="A88" s="3692" t="s">
        <v>1000</v>
      </c>
      <c r="B88" s="3664" t="s">
        <v>1001</v>
      </c>
      <c r="C88" s="3671">
        <f t="shared" ref="C88:K90" si="37">C89</f>
        <v>0</v>
      </c>
      <c r="D88" s="3671">
        <f t="shared" si="37"/>
        <v>0</v>
      </c>
      <c r="E88" s="3671">
        <f t="shared" si="37"/>
        <v>0</v>
      </c>
      <c r="F88" s="3671">
        <f t="shared" si="37"/>
        <v>0</v>
      </c>
      <c r="G88" s="3671">
        <f t="shared" si="37"/>
        <v>-141119</v>
      </c>
      <c r="H88" s="3671">
        <f t="shared" si="37"/>
        <v>-141119</v>
      </c>
      <c r="I88" s="3671">
        <f t="shared" si="37"/>
        <v>-141119</v>
      </c>
      <c r="J88" s="3671">
        <f t="shared" si="37"/>
        <v>0</v>
      </c>
      <c r="K88" s="3716">
        <f t="shared" si="37"/>
        <v>0</v>
      </c>
      <c r="L88" s="266"/>
      <c r="M88" s="260"/>
      <c r="N88" s="260"/>
      <c r="O88" s="260"/>
      <c r="P88" s="260"/>
      <c r="Q88" s="260"/>
      <c r="R88" s="260"/>
      <c r="S88" s="260"/>
      <c r="T88" s="260"/>
      <c r="U88" s="260"/>
      <c r="V88" s="260"/>
      <c r="W88" s="260"/>
    </row>
    <row r="89" spans="1:23" s="265" customFormat="1" ht="36">
      <c r="A89" s="3692" t="s">
        <v>2430</v>
      </c>
      <c r="B89" s="3664" t="s">
        <v>1002</v>
      </c>
      <c r="C89" s="3671">
        <f t="shared" si="37"/>
        <v>0</v>
      </c>
      <c r="D89" s="3671">
        <f t="shared" si="37"/>
        <v>0</v>
      </c>
      <c r="E89" s="3671">
        <f t="shared" si="37"/>
        <v>0</v>
      </c>
      <c r="F89" s="3671">
        <f t="shared" si="37"/>
        <v>0</v>
      </c>
      <c r="G89" s="3671">
        <f t="shared" si="37"/>
        <v>-141119</v>
      </c>
      <c r="H89" s="3671">
        <f t="shared" si="37"/>
        <v>-141119</v>
      </c>
      <c r="I89" s="3671">
        <f t="shared" si="37"/>
        <v>-141119</v>
      </c>
      <c r="J89" s="3671">
        <f t="shared" si="37"/>
        <v>0</v>
      </c>
      <c r="K89" s="3716">
        <f t="shared" si="37"/>
        <v>0</v>
      </c>
      <c r="L89" s="266"/>
      <c r="M89" s="260"/>
      <c r="N89" s="260"/>
      <c r="O89" s="260"/>
      <c r="P89" s="260"/>
      <c r="Q89" s="260"/>
      <c r="R89" s="260"/>
      <c r="S89" s="260"/>
      <c r="T89" s="260"/>
      <c r="U89" s="260"/>
      <c r="V89" s="260"/>
      <c r="W89" s="260"/>
    </row>
    <row r="90" spans="1:23" s="265" customFormat="1" ht="24">
      <c r="A90" s="3696" t="s">
        <v>1003</v>
      </c>
      <c r="B90" s="3666" t="s">
        <v>1004</v>
      </c>
      <c r="C90" s="3680">
        <f t="shared" si="37"/>
        <v>0</v>
      </c>
      <c r="D90" s="3680">
        <f t="shared" si="37"/>
        <v>0</v>
      </c>
      <c r="E90" s="3680">
        <f t="shared" si="37"/>
        <v>0</v>
      </c>
      <c r="F90" s="3680">
        <f t="shared" si="37"/>
        <v>0</v>
      </c>
      <c r="G90" s="3680">
        <f t="shared" si="37"/>
        <v>-141119</v>
      </c>
      <c r="H90" s="3680">
        <f t="shared" si="37"/>
        <v>-141119</v>
      </c>
      <c r="I90" s="3680">
        <f t="shared" si="37"/>
        <v>-141119</v>
      </c>
      <c r="J90" s="3680">
        <f t="shared" si="37"/>
        <v>0</v>
      </c>
      <c r="K90" s="3717">
        <f t="shared" si="37"/>
        <v>0</v>
      </c>
      <c r="L90" s="266"/>
      <c r="M90" s="260"/>
      <c r="N90" s="260"/>
      <c r="O90" s="260"/>
      <c r="P90" s="260"/>
      <c r="Q90" s="260"/>
      <c r="R90" s="260"/>
      <c r="S90" s="260"/>
      <c r="T90" s="260"/>
      <c r="U90" s="260"/>
      <c r="V90" s="260"/>
      <c r="W90" s="260"/>
    </row>
    <row r="91" spans="1:23" s="265" customFormat="1" ht="24">
      <c r="A91" s="3696" t="s">
        <v>1003</v>
      </c>
      <c r="B91" s="3666" t="s">
        <v>1005</v>
      </c>
      <c r="C91" s="3680">
        <f>'CONT EXECUTIE  '!C132</f>
        <v>0</v>
      </c>
      <c r="D91" s="3680">
        <f>'CONT EXECUTIE  '!D132</f>
        <v>0</v>
      </c>
      <c r="E91" s="3680">
        <f>'CONT EXECUTIE  '!E132</f>
        <v>0</v>
      </c>
      <c r="F91" s="3680">
        <f>'CONT EXECUTIE  '!F132</f>
        <v>0</v>
      </c>
      <c r="G91" s="3680">
        <f>'CONT EXECUTIE  '!G132</f>
        <v>-141119</v>
      </c>
      <c r="H91" s="3680">
        <f>'CONT EXECUTIE  '!H132</f>
        <v>-141119</v>
      </c>
      <c r="I91" s="3637">
        <f>'CONT EXECUTIE  '!K132</f>
        <v>-141119</v>
      </c>
      <c r="J91" s="3637">
        <f>'CONT EXECUTIE  '!L132</f>
        <v>0</v>
      </c>
      <c r="K91" s="3642">
        <f>'CONT EXECUTIE  '!M132</f>
        <v>0</v>
      </c>
      <c r="L91" s="266"/>
      <c r="M91" s="260"/>
      <c r="N91" s="260"/>
      <c r="O91" s="260"/>
      <c r="P91" s="260"/>
      <c r="Q91" s="260"/>
      <c r="R91" s="260"/>
      <c r="S91" s="260"/>
      <c r="T91" s="260"/>
      <c r="U91" s="260"/>
      <c r="V91" s="260"/>
      <c r="W91" s="260"/>
    </row>
    <row r="92" spans="1:23" s="279" customFormat="1" ht="24">
      <c r="A92" s="3718" t="s">
        <v>1006</v>
      </c>
      <c r="B92" s="3681">
        <v>90</v>
      </c>
      <c r="C92" s="3682"/>
      <c r="D92" s="3682"/>
      <c r="E92" s="3683">
        <f>E93</f>
        <v>0</v>
      </c>
      <c r="F92" s="3683">
        <f>F93</f>
        <v>0</v>
      </c>
      <c r="G92" s="3683"/>
      <c r="H92" s="3683"/>
      <c r="I92" s="3683">
        <f>I93</f>
        <v>0</v>
      </c>
      <c r="J92" s="3684"/>
      <c r="K92" s="3719"/>
      <c r="L92" s="278"/>
      <c r="M92" s="278"/>
      <c r="N92" s="278"/>
      <c r="O92" s="278"/>
      <c r="P92" s="278"/>
      <c r="Q92" s="278"/>
      <c r="R92" s="278"/>
      <c r="S92" s="278"/>
      <c r="T92" s="278"/>
      <c r="U92" s="278"/>
      <c r="V92" s="278"/>
      <c r="W92" s="278"/>
    </row>
    <row r="93" spans="1:23" s="265" customFormat="1" ht="18" customHeight="1">
      <c r="A93" s="3703" t="s">
        <v>1007</v>
      </c>
      <c r="B93" s="3664" t="s">
        <v>1008</v>
      </c>
      <c r="C93" s="3671"/>
      <c r="D93" s="3671"/>
      <c r="E93" s="3636">
        <f>'ANEXA 6'!F35</f>
        <v>0</v>
      </c>
      <c r="F93" s="3636">
        <f>'ANEXA 6'!G35</f>
        <v>0</v>
      </c>
      <c r="G93" s="3636"/>
      <c r="H93" s="3636"/>
      <c r="I93" s="3636">
        <f>'ANEXA 6'!J36</f>
        <v>0</v>
      </c>
      <c r="J93" s="3667"/>
      <c r="K93" s="3697"/>
      <c r="L93" s="266"/>
      <c r="M93" s="260"/>
      <c r="N93" s="260"/>
      <c r="O93" s="260"/>
      <c r="P93" s="260"/>
      <c r="Q93" s="260"/>
      <c r="R93" s="260"/>
      <c r="S93" s="260"/>
      <c r="T93" s="260"/>
      <c r="U93" s="260"/>
      <c r="V93" s="260"/>
      <c r="W93" s="260"/>
    </row>
    <row r="94" spans="1:23" s="265" customFormat="1" ht="18" customHeight="1">
      <c r="A94" s="3703" t="s">
        <v>1009</v>
      </c>
      <c r="B94" s="3664" t="s">
        <v>1010</v>
      </c>
      <c r="C94" s="3671"/>
      <c r="D94" s="3671"/>
      <c r="E94" s="3665">
        <f>IF(E97&gt;=0,E97,0)</f>
        <v>0</v>
      </c>
      <c r="F94" s="3665">
        <f>IF(F97&gt;=0,F97,0)</f>
        <v>0</v>
      </c>
      <c r="G94" s="3665"/>
      <c r="H94" s="3665"/>
      <c r="I94" s="3665">
        <f>IF(I97&gt;=0,I97,0)</f>
        <v>0</v>
      </c>
      <c r="J94" s="3667"/>
      <c r="K94" s="3697"/>
      <c r="L94" s="266"/>
      <c r="M94" s="260"/>
      <c r="N94" s="260"/>
      <c r="O94" s="260"/>
      <c r="P94" s="260"/>
      <c r="Q94" s="260"/>
      <c r="R94" s="260"/>
      <c r="S94" s="260"/>
      <c r="T94" s="260"/>
      <c r="U94" s="260"/>
      <c r="V94" s="260"/>
      <c r="W94" s="260"/>
    </row>
    <row r="95" spans="1:23" s="265" customFormat="1" ht="18" customHeight="1">
      <c r="A95" s="3720" t="s">
        <v>1011</v>
      </c>
      <c r="B95" s="3721" t="s">
        <v>1012</v>
      </c>
      <c r="C95" s="3722"/>
      <c r="D95" s="3722"/>
      <c r="E95" s="3723">
        <f>IF(E97&lt;=0,E97,0)</f>
        <v>-157167760</v>
      </c>
      <c r="F95" s="3723">
        <f>IF(F97&lt;=0,F97,0)</f>
        <v>-106611860</v>
      </c>
      <c r="G95" s="3723"/>
      <c r="H95" s="3723"/>
      <c r="I95" s="3723">
        <f>IF(I97&lt;=0,I97,0)</f>
        <v>-110371837</v>
      </c>
      <c r="J95" s="3724"/>
      <c r="K95" s="3725"/>
      <c r="L95" s="266"/>
      <c r="M95" s="260"/>
      <c r="N95" s="260"/>
      <c r="O95" s="260"/>
      <c r="P95" s="260"/>
      <c r="Q95" s="260"/>
      <c r="R95" s="260"/>
      <c r="S95" s="260"/>
      <c r="T95" s="260"/>
      <c r="U95" s="260"/>
      <c r="V95" s="260"/>
      <c r="W95" s="260"/>
    </row>
    <row r="96" spans="1:23" s="265" customFormat="1">
      <c r="A96" s="280"/>
      <c r="B96" s="281"/>
      <c r="C96" s="282"/>
      <c r="D96" s="282"/>
      <c r="E96" s="280"/>
      <c r="F96" s="280"/>
      <c r="G96" s="280"/>
      <c r="H96" s="280"/>
      <c r="I96" s="280"/>
      <c r="J96" s="280"/>
      <c r="K96" s="280"/>
      <c r="L96" s="260"/>
      <c r="M96" s="260"/>
      <c r="N96" s="260"/>
      <c r="O96" s="260"/>
      <c r="P96" s="260"/>
      <c r="Q96" s="260"/>
      <c r="R96" s="260"/>
      <c r="S96" s="260"/>
      <c r="T96" s="260"/>
      <c r="U96" s="260"/>
      <c r="V96" s="260"/>
      <c r="W96" s="260"/>
    </row>
    <row r="97" spans="1:23" s="265" customFormat="1">
      <c r="A97" s="280"/>
      <c r="B97" s="281"/>
      <c r="C97" s="282"/>
      <c r="D97" s="282"/>
      <c r="E97" s="283">
        <f>'ANEXA 5 '!C10-'ANEXA 5 '!C26-'ANEXA 5 '!C31-'ANEXA 5 '!C28-'ANEXA 5 '!C51-'ANEXA 5 '!C83-'ANEXA 6'!F8+'ANEXA 6'!F31-'ANEXA 6'!F36</f>
        <v>-157167760</v>
      </c>
      <c r="F97" s="283">
        <f>'ANEXA 5 '!D10-'ANEXA 5 '!D26-'ANEXA 5 '!D31-'ANEXA 5 '!D28-'ANEXA 5 '!D51-'ANEXA 5 '!D83-'ANEXA 6'!G8+'ANEXA 6'!G31-'ANEXA 6'!G36</f>
        <v>-106611860</v>
      </c>
      <c r="G97" s="284"/>
      <c r="H97" s="284"/>
      <c r="I97" s="285">
        <f>'ANEXA 5 '!H10-'ANEXA 5 '!H26-'ANEXA 5 '!H28-'ANEXA 5 '!H51-'ANEXA 5 '!H83-'ANEXA 5 '!H31-'ANEXA 6'!J8+'ANEXA 6'!J31-'ANEXA 6'!J36</f>
        <v>-110371837</v>
      </c>
      <c r="J97" s="280"/>
      <c r="K97" s="280"/>
      <c r="L97" s="260"/>
      <c r="M97" s="260"/>
      <c r="N97" s="260"/>
      <c r="O97" s="260"/>
      <c r="P97" s="260"/>
      <c r="Q97" s="260"/>
      <c r="R97" s="260"/>
      <c r="S97" s="260"/>
      <c r="T97" s="260"/>
      <c r="U97" s="260"/>
      <c r="V97" s="260"/>
      <c r="W97" s="260"/>
    </row>
    <row r="98" spans="1:23" s="265" customFormat="1">
      <c r="A98" s="280"/>
      <c r="B98" s="286"/>
      <c r="C98" s="287"/>
      <c r="D98" s="287"/>
      <c r="E98" s="69"/>
      <c r="F98" s="74"/>
      <c r="G98" s="74"/>
      <c r="H98" s="74"/>
      <c r="I98" s="287"/>
      <c r="J98" s="288"/>
      <c r="K98" s="289"/>
      <c r="L98" s="260"/>
      <c r="M98" s="260"/>
      <c r="N98" s="260"/>
      <c r="O98" s="260"/>
      <c r="P98" s="260"/>
      <c r="Q98" s="260"/>
      <c r="R98" s="260"/>
      <c r="S98" s="260"/>
      <c r="T98" s="260"/>
      <c r="U98" s="260"/>
      <c r="V98" s="260"/>
      <c r="W98" s="260"/>
    </row>
    <row r="99" spans="1:23" s="265" customFormat="1" ht="15.75" customHeight="1">
      <c r="A99" s="4148" t="str">
        <f>'ANEXA 1'!B94</f>
        <v>DIRECTOR  GENERAL,</v>
      </c>
      <c r="B99" s="4148"/>
      <c r="C99" s="4148"/>
      <c r="D99" s="1274"/>
      <c r="E99" s="290"/>
      <c r="F99" s="291"/>
      <c r="G99" s="3984" t="str">
        <f>'ANEXA 1'!D94</f>
        <v>DIRECTOR  EXECUTIV  ECONOMIC,</v>
      </c>
      <c r="H99" s="3984"/>
      <c r="I99" s="3984"/>
      <c r="L99" s="288"/>
      <c r="M99" s="260"/>
      <c r="N99" s="260"/>
      <c r="O99" s="260"/>
      <c r="P99" s="260"/>
      <c r="Q99" s="260"/>
      <c r="R99" s="260"/>
      <c r="S99" s="260"/>
      <c r="T99" s="260"/>
      <c r="U99" s="260"/>
      <c r="V99" s="260"/>
      <c r="W99" s="260"/>
    </row>
    <row r="100" spans="1:23" s="265" customFormat="1" ht="15.75">
      <c r="A100" s="292"/>
      <c r="B100" s="292"/>
      <c r="C100" s="293"/>
      <c r="D100" s="293"/>
      <c r="E100" s="294"/>
      <c r="F100" s="295"/>
      <c r="G100" s="1873"/>
      <c r="H100" s="1873"/>
      <c r="I100" s="1873"/>
      <c r="L100" s="288"/>
      <c r="M100" s="260"/>
      <c r="N100" s="260"/>
      <c r="O100" s="260"/>
      <c r="P100" s="260"/>
      <c r="Q100" s="260"/>
      <c r="R100" s="260"/>
      <c r="S100" s="260"/>
      <c r="T100" s="260"/>
      <c r="U100" s="260"/>
      <c r="V100" s="260"/>
      <c r="W100" s="260"/>
    </row>
    <row r="101" spans="1:23" s="265" customFormat="1" ht="15.75">
      <c r="A101" s="4146" t="str">
        <f>'ANEXA 1'!B96</f>
        <v>EC.ALBU DRINA</v>
      </c>
      <c r="B101" s="4146"/>
      <c r="C101" s="4146"/>
      <c r="D101" s="1275"/>
      <c r="E101" s="296"/>
      <c r="F101" s="297"/>
      <c r="G101" s="3977" t="str">
        <f>'ANEXA 1'!D96</f>
        <v>EC.BIRCU FLORINA</v>
      </c>
      <c r="H101" s="3977"/>
      <c r="I101" s="3977"/>
      <c r="L101" s="288"/>
      <c r="M101" s="260"/>
      <c r="N101" s="260"/>
      <c r="O101" s="260"/>
      <c r="P101" s="260"/>
      <c r="Q101" s="260"/>
      <c r="R101" s="260"/>
      <c r="S101" s="260"/>
      <c r="T101" s="260"/>
      <c r="U101" s="260"/>
      <c r="V101" s="260"/>
      <c r="W101" s="260"/>
    </row>
    <row r="102" spans="1:23" s="265" customFormat="1" ht="15.75">
      <c r="A102" s="4147">
        <f>'ANEXA 1'!B97</f>
        <v>0</v>
      </c>
      <c r="B102" s="4147"/>
      <c r="C102" s="4147"/>
      <c r="D102" s="1273"/>
      <c r="E102" s="296"/>
      <c r="F102" s="145"/>
      <c r="G102" s="298"/>
      <c r="H102" s="298"/>
      <c r="I102" s="299"/>
      <c r="J102" s="141"/>
      <c r="K102" s="141"/>
      <c r="L102" s="288"/>
      <c r="M102" s="260"/>
      <c r="N102" s="260"/>
      <c r="O102" s="260"/>
      <c r="P102" s="260"/>
      <c r="Q102" s="260"/>
      <c r="R102" s="260"/>
      <c r="S102" s="260"/>
      <c r="T102" s="260"/>
      <c r="U102" s="260"/>
      <c r="V102" s="260"/>
      <c r="W102" s="260"/>
    </row>
    <row r="103" spans="1:23" s="265" customFormat="1" ht="15.75" hidden="1">
      <c r="A103" s="300"/>
      <c r="B103" s="300"/>
      <c r="C103" s="300"/>
      <c r="D103" s="300"/>
      <c r="E103" s="300"/>
      <c r="F103" s="301"/>
      <c r="G103" s="302"/>
      <c r="H103" s="303"/>
      <c r="I103" s="303"/>
      <c r="J103" s="303"/>
      <c r="K103" s="141"/>
      <c r="L103" s="147"/>
      <c r="M103" s="260"/>
      <c r="N103" s="260"/>
      <c r="O103" s="260"/>
      <c r="P103" s="260"/>
      <c r="Q103" s="260"/>
      <c r="R103" s="260"/>
      <c r="S103" s="260"/>
      <c r="T103" s="260"/>
      <c r="U103" s="260"/>
      <c r="V103" s="260"/>
      <c r="W103" s="260"/>
    </row>
    <row r="104" spans="1:23" hidden="1"/>
    <row r="105" spans="1:23" ht="13.5" hidden="1" customHeight="1"/>
    <row r="106" spans="1:23" ht="13.5" hidden="1" customHeight="1"/>
    <row r="107" spans="1:23" hidden="1"/>
    <row r="108" spans="1:23">
      <c r="J108" s="1054"/>
    </row>
    <row r="109" spans="1:23">
      <c r="J109" s="1054"/>
    </row>
    <row r="110" spans="1:23" ht="15">
      <c r="A110" s="4149">
        <f>+'ANEXA 1'!B99</f>
        <v>0</v>
      </c>
      <c r="B110" s="4150"/>
      <c r="C110" s="4150"/>
      <c r="G110" s="4017">
        <f>'ANEXA 1'!D99</f>
        <v>0</v>
      </c>
      <c r="H110" s="4017"/>
      <c r="I110" s="4017"/>
    </row>
    <row r="111" spans="1:23">
      <c r="I111" s="1461"/>
      <c r="J111" s="1059"/>
    </row>
    <row r="112" spans="1:23" ht="15">
      <c r="A112" s="4150">
        <f>+'ANEXA 1'!B101</f>
        <v>0</v>
      </c>
      <c r="B112" s="4150"/>
      <c r="C112" s="4150"/>
      <c r="G112" s="4017">
        <f>'ANEXA 1'!D101</f>
        <v>0</v>
      </c>
      <c r="H112" s="4017"/>
      <c r="I112" s="4017"/>
    </row>
    <row r="119" ht="15.75" customHeight="1"/>
  </sheetData>
  <sheetProtection password="CFDD" sheet="1" objects="1" scenarios="1"/>
  <mergeCells count="21">
    <mergeCell ref="G112:I112"/>
    <mergeCell ref="A110:C110"/>
    <mergeCell ref="A112:C112"/>
    <mergeCell ref="A1:G1"/>
    <mergeCell ref="A2:K2"/>
    <mergeCell ref="A3:K3"/>
    <mergeCell ref="A5:A6"/>
    <mergeCell ref="B5:B6"/>
    <mergeCell ref="E5:F5"/>
    <mergeCell ref="G5:G6"/>
    <mergeCell ref="H5:H6"/>
    <mergeCell ref="I5:I6"/>
    <mergeCell ref="C5:D5"/>
    <mergeCell ref="J5:J6"/>
    <mergeCell ref="K5:K6"/>
    <mergeCell ref="G99:I99"/>
    <mergeCell ref="A101:C101"/>
    <mergeCell ref="G101:I101"/>
    <mergeCell ref="A102:C102"/>
    <mergeCell ref="A99:C99"/>
    <mergeCell ref="G110:I110"/>
  </mergeCells>
  <phoneticPr fontId="0" type="noConversion"/>
  <printOptions horizontalCentered="1"/>
  <pageMargins left="0.19685039370078741" right="0.19685039370078741" top="0.15748031496062992" bottom="0.27559055118110237" header="0.51181102362204722" footer="0.27559055118110237"/>
  <pageSetup paperSize="9" scale="75" firstPageNumber="0" orientation="landscape" r:id="rId1"/>
  <headerFooter alignWithMargins="0">
    <oddFooter>&amp;C&amp;A&amp;RPagina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2">
    <tabColor rgb="FFF2DCDB"/>
  </sheetPr>
  <dimension ref="A1:X109"/>
  <sheetViews>
    <sheetView showZeros="0" topLeftCell="A51" workbookViewId="0">
      <selection sqref="A1:G1"/>
    </sheetView>
  </sheetViews>
  <sheetFormatPr defaultColWidth="9.140625" defaultRowHeight="12.75"/>
  <cols>
    <col min="1" max="1" width="32.28515625" style="13" customWidth="1"/>
    <col min="2" max="2" width="9.28515625" style="259" customWidth="1"/>
    <col min="3" max="4" width="14.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260"/>
    <col min="25" max="16384" width="9.140625" style="13"/>
  </cols>
  <sheetData>
    <row r="1" spans="1:24" ht="27.75" customHeight="1">
      <c r="A1" s="4019" t="str">
        <f>'ANEXA 1'!A1</f>
        <v>CASA  DE  ASIGURĂRI  DE  SĂNĂTATE MEHEDINTI</v>
      </c>
      <c r="B1" s="4019"/>
      <c r="C1" s="4019"/>
      <c r="D1" s="4019"/>
      <c r="E1" s="4019"/>
      <c r="F1" s="4019"/>
      <c r="G1" s="4019"/>
      <c r="H1" s="261"/>
      <c r="K1" s="17" t="s">
        <v>894</v>
      </c>
    </row>
    <row r="2" spans="1:24" ht="21" customHeight="1">
      <c r="A2" s="3984" t="s">
        <v>895</v>
      </c>
      <c r="B2" s="3984"/>
      <c r="C2" s="3984"/>
      <c r="D2" s="3984"/>
      <c r="E2" s="3984"/>
      <c r="F2" s="3984"/>
      <c r="G2" s="3984"/>
      <c r="H2" s="3984"/>
      <c r="I2" s="3984"/>
      <c r="J2" s="3984"/>
      <c r="K2" s="3984"/>
    </row>
    <row r="3" spans="1:24" ht="19.5" customHeight="1">
      <c r="A3" s="3984" t="str">
        <f>'ANEXA 1'!A12</f>
        <v>la  data  de  30  IUNIE  2023</v>
      </c>
      <c r="B3" s="3984"/>
      <c r="C3" s="3984"/>
      <c r="D3" s="3984"/>
      <c r="E3" s="3984"/>
      <c r="F3" s="3984"/>
      <c r="G3" s="3984"/>
      <c r="H3" s="3984"/>
      <c r="I3" s="3984"/>
      <c r="J3" s="3984"/>
      <c r="K3" s="3984"/>
    </row>
    <row r="4" spans="1:24" s="265" customFormat="1" ht="14.25">
      <c r="A4" s="262" t="s">
        <v>1013</v>
      </c>
      <c r="B4" s="263"/>
      <c r="C4" s="262"/>
      <c r="D4" s="262"/>
      <c r="E4" s="264"/>
      <c r="F4" s="264"/>
      <c r="G4" s="264"/>
      <c r="H4" s="264"/>
      <c r="I4" s="264"/>
      <c r="J4" s="264"/>
      <c r="K4" s="1326" t="s">
        <v>1031</v>
      </c>
      <c r="L4" s="260"/>
      <c r="M4" s="260"/>
      <c r="N4" s="260"/>
      <c r="O4" s="260"/>
      <c r="P4" s="260"/>
      <c r="Q4" s="260"/>
      <c r="R4" s="260"/>
      <c r="S4" s="260"/>
      <c r="T4" s="260"/>
      <c r="U4" s="260"/>
      <c r="V4" s="260"/>
      <c r="W4" s="260"/>
      <c r="X4" s="260"/>
    </row>
    <row r="5" spans="1:24" s="265" customFormat="1" ht="30" customHeight="1">
      <c r="A5" s="4151" t="s">
        <v>897</v>
      </c>
      <c r="B5" s="4153" t="s">
        <v>686</v>
      </c>
      <c r="C5" s="4153" t="s">
        <v>809</v>
      </c>
      <c r="D5" s="4153"/>
      <c r="E5" s="4153" t="s">
        <v>810</v>
      </c>
      <c r="F5" s="4153"/>
      <c r="G5" s="4155" t="s">
        <v>811</v>
      </c>
      <c r="H5" s="4155" t="s">
        <v>812</v>
      </c>
      <c r="I5" s="4155" t="s">
        <v>898</v>
      </c>
      <c r="J5" s="4155" t="s">
        <v>899</v>
      </c>
      <c r="K5" s="4157" t="s">
        <v>815</v>
      </c>
      <c r="L5" s="260"/>
      <c r="M5" s="260"/>
      <c r="N5" s="260"/>
      <c r="O5" s="260"/>
      <c r="P5" s="260"/>
      <c r="Q5" s="260"/>
      <c r="R5" s="260"/>
      <c r="S5" s="260"/>
      <c r="T5" s="260"/>
      <c r="U5" s="260"/>
      <c r="V5" s="260"/>
      <c r="W5" s="260"/>
      <c r="X5" s="260"/>
    </row>
    <row r="6" spans="1:24" s="265" customFormat="1" ht="64.150000000000006" customHeight="1">
      <c r="A6" s="4152"/>
      <c r="B6" s="4154"/>
      <c r="C6" s="3040" t="str">
        <f>'ANEXA 7 CAPITOL 6605'!C6</f>
        <v>anuale aprobate la finele perioadei de raportare</v>
      </c>
      <c r="D6" s="3040" t="str">
        <f>'ANEXA 7 CAPITOL 6605'!D6</f>
        <v>trimestriale cumulate</v>
      </c>
      <c r="E6" s="3040" t="str">
        <f>'ANEXA 7 CAPITOL 6605'!E6</f>
        <v>anuale aprobate la finele perioadei de raportare</v>
      </c>
      <c r="F6" s="3040" t="str">
        <f>'ANEXA 7 CAPITOL 6605'!F6</f>
        <v>trimestriale cumulate</v>
      </c>
      <c r="G6" s="4156"/>
      <c r="H6" s="4156"/>
      <c r="I6" s="4156"/>
      <c r="J6" s="4156"/>
      <c r="K6" s="4158"/>
      <c r="L6" s="260"/>
      <c r="M6" s="260"/>
      <c r="N6" s="260"/>
      <c r="O6" s="260"/>
      <c r="P6" s="260"/>
      <c r="Q6" s="260"/>
      <c r="R6" s="260"/>
      <c r="S6" s="260"/>
      <c r="T6" s="260"/>
      <c r="U6" s="260"/>
      <c r="V6" s="260"/>
      <c r="W6" s="260"/>
      <c r="X6" s="260"/>
    </row>
    <row r="7" spans="1:24" s="265" customFormat="1">
      <c r="A7" s="3687" t="s">
        <v>92</v>
      </c>
      <c r="B7" s="3688" t="s">
        <v>93</v>
      </c>
      <c r="C7" s="3688">
        <v>1</v>
      </c>
      <c r="D7" s="3688">
        <v>2</v>
      </c>
      <c r="E7" s="3688">
        <v>3</v>
      </c>
      <c r="F7" s="3688">
        <v>4</v>
      </c>
      <c r="G7" s="3688">
        <v>5</v>
      </c>
      <c r="H7" s="3688">
        <v>6</v>
      </c>
      <c r="I7" s="3688">
        <v>7</v>
      </c>
      <c r="J7" s="3688" t="s">
        <v>2057</v>
      </c>
      <c r="K7" s="3689">
        <v>9</v>
      </c>
      <c r="L7" s="260"/>
      <c r="M7" s="260"/>
      <c r="N7" s="260"/>
      <c r="O7" s="260"/>
      <c r="P7" s="260"/>
      <c r="Q7" s="260"/>
      <c r="R7" s="260"/>
      <c r="S7" s="260"/>
      <c r="T7" s="260"/>
      <c r="U7" s="260"/>
      <c r="V7" s="260"/>
      <c r="W7" s="260"/>
      <c r="X7" s="260"/>
    </row>
    <row r="8" spans="1:24" s="265" customFormat="1" ht="23.45" customHeight="1">
      <c r="A8" s="3786" t="s">
        <v>900</v>
      </c>
      <c r="B8" s="3787"/>
      <c r="C8" s="3788">
        <f t="shared" ref="C8:K8" si="0">ROUND(C9+C70,1)</f>
        <v>14664000</v>
      </c>
      <c r="D8" s="3788">
        <f>ROUND(D9+D70,1)</f>
        <v>9583000</v>
      </c>
      <c r="E8" s="3788">
        <f t="shared" si="0"/>
        <v>14664000</v>
      </c>
      <c r="F8" s="3788">
        <f t="shared" si="0"/>
        <v>9583000</v>
      </c>
      <c r="G8" s="3788">
        <f>ROUND(G9+G70,1)+G78</f>
        <v>9539977</v>
      </c>
      <c r="H8" s="3788">
        <f>ROUND(H9+H70,1)+H78</f>
        <v>9539977</v>
      </c>
      <c r="I8" s="3788">
        <f>ROUND(I9+I70,1)+I78</f>
        <v>9539977</v>
      </c>
      <c r="J8" s="3788">
        <f t="shared" si="0"/>
        <v>0</v>
      </c>
      <c r="K8" s="3789">
        <f t="shared" si="0"/>
        <v>9580511</v>
      </c>
      <c r="L8" s="266"/>
      <c r="M8" s="260"/>
      <c r="N8" s="260"/>
      <c r="O8" s="260"/>
      <c r="P8" s="260"/>
      <c r="Q8" s="260"/>
      <c r="R8" s="260"/>
      <c r="S8" s="260"/>
      <c r="T8" s="260"/>
      <c r="U8" s="260"/>
      <c r="V8" s="260"/>
      <c r="W8" s="260"/>
      <c r="X8" s="260"/>
    </row>
    <row r="9" spans="1:24" s="265" customFormat="1" ht="39.75" customHeight="1">
      <c r="A9" s="3762" t="s">
        <v>1014</v>
      </c>
      <c r="B9" s="3741" t="s">
        <v>96</v>
      </c>
      <c r="C9" s="3662">
        <f t="shared" ref="C9:K9" si="1">ROUND(C10+C30+C55+C67+C58,1)</f>
        <v>14664000</v>
      </c>
      <c r="D9" s="3662">
        <f>ROUND(D10+D30+D55+D67+D58,1)</f>
        <v>9583000</v>
      </c>
      <c r="E9" s="3662">
        <f t="shared" si="1"/>
        <v>14664000</v>
      </c>
      <c r="F9" s="3662">
        <f t="shared" si="1"/>
        <v>9583000</v>
      </c>
      <c r="G9" s="3662">
        <f t="shared" si="1"/>
        <v>9580511</v>
      </c>
      <c r="H9" s="3662">
        <f t="shared" si="1"/>
        <v>9580511</v>
      </c>
      <c r="I9" s="3662">
        <f t="shared" si="1"/>
        <v>9580511</v>
      </c>
      <c r="J9" s="3662">
        <f t="shared" si="1"/>
        <v>0</v>
      </c>
      <c r="K9" s="3693">
        <f t="shared" si="1"/>
        <v>9580511</v>
      </c>
      <c r="L9" s="266"/>
      <c r="M9" s="260"/>
      <c r="N9" s="260"/>
      <c r="O9" s="260"/>
      <c r="P9" s="260"/>
      <c r="Q9" s="260"/>
      <c r="R9" s="260"/>
      <c r="S9" s="260"/>
      <c r="T9" s="260"/>
      <c r="U9" s="260"/>
      <c r="V9" s="260"/>
      <c r="W9" s="260"/>
      <c r="X9" s="260"/>
    </row>
    <row r="10" spans="1:24" s="265" customFormat="1" ht="24">
      <c r="A10" s="3763" t="s">
        <v>902</v>
      </c>
      <c r="B10" s="3741">
        <v>10</v>
      </c>
      <c r="C10" s="3662">
        <f t="shared" ref="C10:K10" si="2">ROUND(C11+C22,1)</f>
        <v>0</v>
      </c>
      <c r="D10" s="3662">
        <f>ROUND(D11+D22,1)</f>
        <v>0</v>
      </c>
      <c r="E10" s="3662">
        <f t="shared" si="2"/>
        <v>0</v>
      </c>
      <c r="F10" s="3662">
        <f t="shared" si="2"/>
        <v>0</v>
      </c>
      <c r="G10" s="3662">
        <f t="shared" si="2"/>
        <v>0</v>
      </c>
      <c r="H10" s="3662">
        <f t="shared" si="2"/>
        <v>0</v>
      </c>
      <c r="I10" s="3662">
        <f t="shared" si="2"/>
        <v>0</v>
      </c>
      <c r="J10" s="3662">
        <f t="shared" si="2"/>
        <v>0</v>
      </c>
      <c r="K10" s="3693">
        <f t="shared" si="2"/>
        <v>0</v>
      </c>
      <c r="L10" s="266"/>
      <c r="M10" s="260"/>
      <c r="N10" s="260"/>
      <c r="O10" s="260"/>
      <c r="P10" s="260"/>
      <c r="Q10" s="260"/>
      <c r="R10" s="260"/>
      <c r="S10" s="260"/>
      <c r="T10" s="260"/>
      <c r="U10" s="260"/>
      <c r="V10" s="260"/>
      <c r="W10" s="260"/>
      <c r="X10" s="260"/>
    </row>
    <row r="11" spans="1:24" s="265" customFormat="1" ht="24">
      <c r="A11" s="3764" t="s">
        <v>1015</v>
      </c>
      <c r="B11" s="3742" t="s">
        <v>862</v>
      </c>
      <c r="C11" s="3636">
        <f t="shared" ref="C11:H11" si="3">ROUND(SUM(C12:C19),1)</f>
        <v>0</v>
      </c>
      <c r="D11" s="3636">
        <f t="shared" si="3"/>
        <v>0</v>
      </c>
      <c r="E11" s="3636">
        <f t="shared" si="3"/>
        <v>0</v>
      </c>
      <c r="F11" s="3636">
        <f t="shared" si="3"/>
        <v>0</v>
      </c>
      <c r="G11" s="3636">
        <f t="shared" si="3"/>
        <v>0</v>
      </c>
      <c r="H11" s="3636">
        <f t="shared" si="3"/>
        <v>0</v>
      </c>
      <c r="I11" s="3636">
        <f>ROUND(SUM(I12:I19),1)</f>
        <v>0</v>
      </c>
      <c r="J11" s="3636">
        <f>ROUND(SUM(J12:J19),1)</f>
        <v>0</v>
      </c>
      <c r="K11" s="3640">
        <f>ROUND(SUM(K12:K19),1)</f>
        <v>0</v>
      </c>
      <c r="L11" s="266"/>
      <c r="M11" s="260"/>
      <c r="N11" s="260"/>
      <c r="O11" s="260"/>
      <c r="P11" s="260"/>
      <c r="Q11" s="260"/>
      <c r="R11" s="260"/>
      <c r="S11" s="260"/>
      <c r="T11" s="260"/>
      <c r="U11" s="260"/>
      <c r="V11" s="260"/>
      <c r="W11" s="260"/>
      <c r="X11" s="260"/>
    </row>
    <row r="12" spans="1:24" s="265" customFormat="1" ht="12.75" customHeight="1">
      <c r="A12" s="3765" t="s">
        <v>863</v>
      </c>
      <c r="B12" s="3668" t="s">
        <v>864</v>
      </c>
      <c r="C12" s="3743"/>
      <c r="D12" s="3743"/>
      <c r="E12" s="3637"/>
      <c r="F12" s="3637"/>
      <c r="G12" s="3637"/>
      <c r="H12" s="3637"/>
      <c r="I12" s="3637"/>
      <c r="J12" s="3637"/>
      <c r="K12" s="3642"/>
      <c r="L12" s="266"/>
      <c r="M12" s="260"/>
      <c r="N12" s="260"/>
      <c r="O12" s="260"/>
      <c r="P12" s="260"/>
      <c r="Q12" s="260"/>
      <c r="R12" s="260"/>
      <c r="S12" s="260"/>
      <c r="T12" s="260"/>
      <c r="U12" s="260"/>
      <c r="V12" s="260"/>
      <c r="W12" s="260"/>
      <c r="X12" s="260"/>
    </row>
    <row r="13" spans="1:24" s="265" customFormat="1" ht="12.75" customHeight="1">
      <c r="A13" s="3765" t="s">
        <v>1849</v>
      </c>
      <c r="B13" s="3668" t="s">
        <v>1868</v>
      </c>
      <c r="C13" s="3743"/>
      <c r="D13" s="3743"/>
      <c r="E13" s="3637"/>
      <c r="F13" s="3637"/>
      <c r="G13" s="3637"/>
      <c r="H13" s="3637"/>
      <c r="I13" s="3637"/>
      <c r="J13" s="3637"/>
      <c r="K13" s="3642"/>
      <c r="L13" s="266"/>
      <c r="M13" s="260"/>
      <c r="N13" s="260"/>
      <c r="O13" s="260"/>
      <c r="P13" s="260"/>
      <c r="Q13" s="260"/>
      <c r="R13" s="260"/>
      <c r="S13" s="260"/>
      <c r="T13" s="260"/>
      <c r="U13" s="260"/>
      <c r="V13" s="260"/>
      <c r="W13" s="260"/>
      <c r="X13" s="260"/>
    </row>
    <row r="14" spans="1:24" s="265" customFormat="1" ht="12.75" customHeight="1">
      <c r="A14" s="3698" t="s">
        <v>2052</v>
      </c>
      <c r="B14" s="3591" t="s">
        <v>2053</v>
      </c>
      <c r="C14" s="3743"/>
      <c r="D14" s="3743"/>
      <c r="E14" s="3637"/>
      <c r="F14" s="3637"/>
      <c r="G14" s="3637"/>
      <c r="H14" s="3637"/>
      <c r="I14" s="3637"/>
      <c r="J14" s="3637"/>
      <c r="K14" s="3642"/>
      <c r="L14" s="266"/>
      <c r="M14" s="260"/>
      <c r="N14" s="260"/>
      <c r="O14" s="260"/>
      <c r="P14" s="260"/>
      <c r="Q14" s="260"/>
      <c r="R14" s="260"/>
      <c r="S14" s="260"/>
      <c r="T14" s="260"/>
      <c r="U14" s="260"/>
      <c r="V14" s="260"/>
      <c r="W14" s="260"/>
      <c r="X14" s="260"/>
    </row>
    <row r="15" spans="1:24" s="265" customFormat="1" ht="24.75" customHeight="1">
      <c r="A15" s="3765" t="s">
        <v>903</v>
      </c>
      <c r="B15" s="3668" t="s">
        <v>904</v>
      </c>
      <c r="C15" s="3743"/>
      <c r="D15" s="3743"/>
      <c r="E15" s="3637"/>
      <c r="F15" s="3637"/>
      <c r="G15" s="3637"/>
      <c r="H15" s="3637"/>
      <c r="I15" s="3637"/>
      <c r="J15" s="3637"/>
      <c r="K15" s="3642"/>
      <c r="L15" s="266"/>
      <c r="M15" s="260"/>
      <c r="N15" s="260"/>
      <c r="O15" s="260"/>
      <c r="P15" s="260"/>
      <c r="Q15" s="260"/>
      <c r="R15" s="260"/>
      <c r="S15" s="260"/>
      <c r="T15" s="260"/>
      <c r="U15" s="260"/>
      <c r="V15" s="260"/>
      <c r="W15" s="260"/>
      <c r="X15" s="260"/>
    </row>
    <row r="16" spans="1:24" s="265" customFormat="1" ht="12.75" customHeight="1">
      <c r="A16" s="3699" t="s">
        <v>2097</v>
      </c>
      <c r="B16" s="3668" t="s">
        <v>865</v>
      </c>
      <c r="C16" s="3743"/>
      <c r="D16" s="3743"/>
      <c r="E16" s="3637"/>
      <c r="F16" s="3637"/>
      <c r="G16" s="3637"/>
      <c r="H16" s="3637"/>
      <c r="I16" s="3637"/>
      <c r="J16" s="3637"/>
      <c r="K16" s="3642"/>
      <c r="L16" s="266"/>
      <c r="M16" s="260"/>
      <c r="N16" s="260"/>
      <c r="O16" s="260"/>
      <c r="P16" s="260"/>
      <c r="Q16" s="260"/>
      <c r="R16" s="260"/>
      <c r="S16" s="260"/>
      <c r="T16" s="260"/>
      <c r="U16" s="260"/>
      <c r="V16" s="260"/>
      <c r="W16" s="260"/>
      <c r="X16" s="260"/>
    </row>
    <row r="17" spans="1:24" s="265" customFormat="1" ht="12.75" customHeight="1">
      <c r="A17" s="3700" t="s">
        <v>905</v>
      </c>
      <c r="B17" s="3666" t="s">
        <v>906</v>
      </c>
      <c r="C17" s="3743"/>
      <c r="D17" s="3743"/>
      <c r="E17" s="3637"/>
      <c r="F17" s="3637"/>
      <c r="G17" s="3637"/>
      <c r="H17" s="3637"/>
      <c r="I17" s="3637"/>
      <c r="J17" s="3637"/>
      <c r="K17" s="3642"/>
      <c r="L17" s="266"/>
      <c r="M17" s="260"/>
      <c r="N17" s="260"/>
      <c r="O17" s="260"/>
      <c r="P17" s="260"/>
      <c r="Q17" s="260"/>
      <c r="R17" s="260"/>
      <c r="S17" s="260"/>
      <c r="T17" s="260"/>
      <c r="U17" s="260"/>
      <c r="V17" s="260"/>
      <c r="W17" s="260"/>
      <c r="X17" s="260"/>
    </row>
    <row r="18" spans="1:24" s="265" customFormat="1" ht="12.75" customHeight="1">
      <c r="A18" s="3700" t="s">
        <v>2091</v>
      </c>
      <c r="B18" s="3668" t="s">
        <v>2095</v>
      </c>
      <c r="C18" s="3743"/>
      <c r="D18" s="3743"/>
      <c r="E18" s="3637"/>
      <c r="F18" s="3637"/>
      <c r="G18" s="3637"/>
      <c r="H18" s="3637"/>
      <c r="I18" s="3637"/>
      <c r="J18" s="3637"/>
      <c r="K18" s="3642"/>
      <c r="L18" s="266"/>
      <c r="M18" s="260"/>
      <c r="N18" s="260"/>
      <c r="O18" s="260"/>
      <c r="P18" s="260"/>
      <c r="Q18" s="260"/>
      <c r="R18" s="260"/>
      <c r="S18" s="260"/>
      <c r="T18" s="260"/>
      <c r="U18" s="260"/>
      <c r="V18" s="260"/>
      <c r="W18" s="260"/>
      <c r="X18" s="260"/>
    </row>
    <row r="19" spans="1:24" s="265" customFormat="1" ht="12.75" customHeight="1">
      <c r="A19" s="3765" t="s">
        <v>907</v>
      </c>
      <c r="B19" s="3668" t="s">
        <v>908</v>
      </c>
      <c r="C19" s="3743"/>
      <c r="D19" s="3743"/>
      <c r="E19" s="3637"/>
      <c r="F19" s="3637"/>
      <c r="G19" s="3637"/>
      <c r="H19" s="3637"/>
      <c r="I19" s="3637"/>
      <c r="J19" s="3637"/>
      <c r="K19" s="3642"/>
      <c r="L19" s="266"/>
      <c r="M19" s="260"/>
      <c r="N19" s="260"/>
      <c r="O19" s="260"/>
      <c r="P19" s="260"/>
      <c r="Q19" s="260"/>
      <c r="R19" s="260"/>
      <c r="S19" s="260"/>
      <c r="T19" s="260"/>
      <c r="U19" s="260"/>
      <c r="V19" s="260"/>
      <c r="W19" s="260"/>
      <c r="X19" s="260"/>
    </row>
    <row r="20" spans="1:24" s="265" customFormat="1" ht="12.75" customHeight="1">
      <c r="A20" s="3763" t="s">
        <v>1852</v>
      </c>
      <c r="B20" s="3669" t="s">
        <v>1865</v>
      </c>
      <c r="C20" s="3744"/>
      <c r="D20" s="3744"/>
      <c r="E20" s="3665"/>
      <c r="F20" s="3665"/>
      <c r="G20" s="3665"/>
      <c r="H20" s="3665"/>
      <c r="I20" s="3665"/>
      <c r="J20" s="3665"/>
      <c r="K20" s="3695"/>
      <c r="L20" s="266"/>
      <c r="M20" s="260"/>
      <c r="N20" s="260"/>
      <c r="O20" s="260"/>
      <c r="P20" s="260"/>
      <c r="Q20" s="260"/>
      <c r="R20" s="260"/>
      <c r="S20" s="260"/>
      <c r="T20" s="260"/>
      <c r="U20" s="260"/>
      <c r="V20" s="260"/>
      <c r="W20" s="260"/>
      <c r="X20" s="260"/>
    </row>
    <row r="21" spans="1:24" s="265" customFormat="1" ht="12.75" customHeight="1">
      <c r="A21" s="3765" t="s">
        <v>1853</v>
      </c>
      <c r="B21" s="3668" t="s">
        <v>1866</v>
      </c>
      <c r="C21" s="3743"/>
      <c r="D21" s="3743"/>
      <c r="E21" s="3637"/>
      <c r="F21" s="3637"/>
      <c r="G21" s="3637"/>
      <c r="H21" s="3637"/>
      <c r="I21" s="3637"/>
      <c r="J21" s="3637"/>
      <c r="K21" s="3642"/>
      <c r="L21" s="266"/>
      <c r="M21" s="260"/>
      <c r="N21" s="260"/>
      <c r="O21" s="260"/>
      <c r="P21" s="260"/>
      <c r="Q21" s="260"/>
      <c r="R21" s="260"/>
      <c r="S21" s="260"/>
      <c r="T21" s="260"/>
      <c r="U21" s="260"/>
      <c r="V21" s="260"/>
      <c r="W21" s="260"/>
      <c r="X21" s="260"/>
    </row>
    <row r="22" spans="1:24" s="265" customFormat="1" ht="12.75" customHeight="1">
      <c r="A22" s="3764" t="s">
        <v>909</v>
      </c>
      <c r="B22" s="3670" t="s">
        <v>910</v>
      </c>
      <c r="C22" s="3636">
        <f t="shared" ref="C22:K22" si="4">ROUND(SUM(C23:C27),1)</f>
        <v>0</v>
      </c>
      <c r="D22" s="3636">
        <f>ROUND(SUM(D23:D27),1)</f>
        <v>0</v>
      </c>
      <c r="E22" s="3636">
        <f t="shared" si="4"/>
        <v>0</v>
      </c>
      <c r="F22" s="3636">
        <f t="shared" si="4"/>
        <v>0</v>
      </c>
      <c r="G22" s="3636">
        <f t="shared" si="4"/>
        <v>0</v>
      </c>
      <c r="H22" s="3636">
        <f t="shared" si="4"/>
        <v>0</v>
      </c>
      <c r="I22" s="3636">
        <f t="shared" si="4"/>
        <v>0</v>
      </c>
      <c r="J22" s="3636">
        <f t="shared" si="4"/>
        <v>0</v>
      </c>
      <c r="K22" s="3640">
        <f t="shared" si="4"/>
        <v>0</v>
      </c>
      <c r="L22" s="266"/>
      <c r="M22" s="260"/>
      <c r="N22" s="260"/>
      <c r="O22" s="260"/>
      <c r="P22" s="260"/>
      <c r="Q22" s="260"/>
      <c r="R22" s="260"/>
      <c r="S22" s="260"/>
      <c r="T22" s="260"/>
      <c r="U22" s="260"/>
      <c r="V22" s="260"/>
      <c r="W22" s="260"/>
      <c r="X22" s="260"/>
    </row>
    <row r="23" spans="1:24" s="265" customFormat="1" ht="12.75" customHeight="1">
      <c r="A23" s="3766" t="s">
        <v>911</v>
      </c>
      <c r="B23" s="3668" t="s">
        <v>912</v>
      </c>
      <c r="C23" s="3743"/>
      <c r="D23" s="3743"/>
      <c r="E23" s="3637"/>
      <c r="F23" s="3637"/>
      <c r="G23" s="3637"/>
      <c r="H23" s="3637"/>
      <c r="I23" s="3637"/>
      <c r="J23" s="3637"/>
      <c r="K23" s="3642"/>
      <c r="L23" s="266"/>
      <c r="M23" s="260"/>
      <c r="N23" s="260"/>
      <c r="O23" s="260"/>
      <c r="P23" s="260"/>
      <c r="Q23" s="260"/>
      <c r="R23" s="260"/>
      <c r="S23" s="260"/>
      <c r="T23" s="260"/>
      <c r="U23" s="260"/>
      <c r="V23" s="260"/>
      <c r="W23" s="260"/>
      <c r="X23" s="260"/>
    </row>
    <row r="24" spans="1:24" s="265" customFormat="1" ht="12.75" customHeight="1">
      <c r="A24" s="3766" t="s">
        <v>913</v>
      </c>
      <c r="B24" s="3668" t="s">
        <v>914</v>
      </c>
      <c r="C24" s="3743"/>
      <c r="D24" s="3743"/>
      <c r="E24" s="3637"/>
      <c r="F24" s="3637"/>
      <c r="G24" s="3637"/>
      <c r="H24" s="3637"/>
      <c r="I24" s="3637"/>
      <c r="J24" s="3637"/>
      <c r="K24" s="3642"/>
      <c r="L24" s="266"/>
      <c r="M24" s="260"/>
      <c r="N24" s="260"/>
      <c r="O24" s="260"/>
      <c r="P24" s="260"/>
      <c r="Q24" s="260"/>
      <c r="R24" s="260"/>
      <c r="S24" s="260"/>
      <c r="T24" s="260"/>
      <c r="U24" s="260"/>
      <c r="V24" s="260"/>
      <c r="W24" s="260"/>
      <c r="X24" s="260"/>
    </row>
    <row r="25" spans="1:24" s="265" customFormat="1" ht="24">
      <c r="A25" s="3766" t="s">
        <v>915</v>
      </c>
      <c r="B25" s="3668" t="s">
        <v>916</v>
      </c>
      <c r="C25" s="3743"/>
      <c r="D25" s="3743"/>
      <c r="E25" s="3637"/>
      <c r="F25" s="3637"/>
      <c r="G25" s="3637"/>
      <c r="H25" s="3637"/>
      <c r="I25" s="3637"/>
      <c r="J25" s="3637"/>
      <c r="K25" s="3642"/>
      <c r="L25" s="266"/>
      <c r="M25" s="260"/>
      <c r="N25" s="260"/>
      <c r="O25" s="260"/>
      <c r="P25" s="260"/>
      <c r="Q25" s="260"/>
      <c r="R25" s="260"/>
      <c r="S25" s="260"/>
      <c r="T25" s="260"/>
      <c r="U25" s="260"/>
      <c r="V25" s="260"/>
      <c r="W25" s="260"/>
      <c r="X25" s="260"/>
    </row>
    <row r="26" spans="1:24" s="265" customFormat="1" ht="36">
      <c r="A26" s="3766" t="s">
        <v>917</v>
      </c>
      <c r="B26" s="3668" t="s">
        <v>918</v>
      </c>
      <c r="C26" s="3743"/>
      <c r="D26" s="3743"/>
      <c r="E26" s="3637"/>
      <c r="F26" s="3637"/>
      <c r="G26" s="3637"/>
      <c r="H26" s="3637"/>
      <c r="I26" s="3637"/>
      <c r="J26" s="3637"/>
      <c r="K26" s="3642"/>
      <c r="L26" s="266"/>
      <c r="M26" s="260"/>
      <c r="N26" s="260"/>
      <c r="O26" s="260"/>
      <c r="P26" s="260"/>
      <c r="Q26" s="260"/>
      <c r="R26" s="260"/>
      <c r="S26" s="260"/>
      <c r="T26" s="260"/>
      <c r="U26" s="260"/>
      <c r="V26" s="260"/>
      <c r="W26" s="260"/>
      <c r="X26" s="260"/>
    </row>
    <row r="27" spans="1:24" s="265" customFormat="1" ht="24">
      <c r="A27" s="3767" t="s">
        <v>919</v>
      </c>
      <c r="B27" s="3591" t="s">
        <v>920</v>
      </c>
      <c r="C27" s="3745"/>
      <c r="D27" s="3745"/>
      <c r="E27" s="3637"/>
      <c r="F27" s="3637"/>
      <c r="G27" s="3637"/>
      <c r="H27" s="3637"/>
      <c r="I27" s="3637"/>
      <c r="J27" s="3637"/>
      <c r="K27" s="3642"/>
      <c r="L27" s="266"/>
      <c r="M27" s="260"/>
      <c r="N27" s="260"/>
      <c r="O27" s="260"/>
      <c r="P27" s="260"/>
      <c r="Q27" s="260"/>
      <c r="R27" s="260"/>
      <c r="S27" s="260"/>
      <c r="T27" s="260"/>
      <c r="U27" s="260"/>
      <c r="V27" s="260"/>
      <c r="W27" s="260"/>
      <c r="X27" s="260"/>
    </row>
    <row r="28" spans="1:24" s="265" customFormat="1" ht="14.25">
      <c r="A28" s="3701" t="s">
        <v>1856</v>
      </c>
      <c r="B28" s="3591" t="s">
        <v>1869</v>
      </c>
      <c r="C28" s="3745"/>
      <c r="D28" s="3745"/>
      <c r="E28" s="3637"/>
      <c r="F28" s="3637"/>
      <c r="G28" s="3637"/>
      <c r="H28" s="3637"/>
      <c r="I28" s="3637"/>
      <c r="J28" s="3637"/>
      <c r="K28" s="3642"/>
      <c r="L28" s="266"/>
      <c r="M28" s="260"/>
      <c r="N28" s="260"/>
      <c r="O28" s="260"/>
      <c r="P28" s="260"/>
      <c r="Q28" s="260"/>
      <c r="R28" s="260"/>
      <c r="S28" s="260"/>
      <c r="T28" s="260"/>
      <c r="U28" s="260"/>
      <c r="V28" s="260"/>
      <c r="W28" s="260"/>
      <c r="X28" s="260"/>
    </row>
    <row r="29" spans="1:24" s="265" customFormat="1" ht="24">
      <c r="A29" s="3701" t="s">
        <v>1857</v>
      </c>
      <c r="B29" s="3591" t="s">
        <v>1870</v>
      </c>
      <c r="C29" s="3745"/>
      <c r="D29" s="3745"/>
      <c r="E29" s="3637"/>
      <c r="F29" s="3637"/>
      <c r="G29" s="3637"/>
      <c r="H29" s="3637"/>
      <c r="I29" s="3637"/>
      <c r="J29" s="3637"/>
      <c r="K29" s="3642"/>
      <c r="L29" s="266"/>
      <c r="M29" s="260"/>
      <c r="N29" s="260"/>
      <c r="O29" s="260"/>
      <c r="P29" s="260"/>
      <c r="Q29" s="260"/>
      <c r="R29" s="260"/>
      <c r="S29" s="260"/>
      <c r="T29" s="260"/>
      <c r="U29" s="260"/>
      <c r="V29" s="260"/>
      <c r="W29" s="260"/>
      <c r="X29" s="260"/>
    </row>
    <row r="30" spans="1:24" s="265" customFormat="1" ht="24">
      <c r="A30" s="3763" t="s">
        <v>921</v>
      </c>
      <c r="B30" s="3670" t="s">
        <v>713</v>
      </c>
      <c r="C30" s="3636">
        <f t="shared" ref="C30:K30" si="5">ROUND(C31+C41+C42+C44+C47+C48+C49+C50+C52,1)</f>
        <v>0</v>
      </c>
      <c r="D30" s="3636">
        <f>ROUND(D31+D41+D42+D44+D47+D48+D49+D50+D52,1)</f>
        <v>0</v>
      </c>
      <c r="E30" s="3636">
        <f t="shared" si="5"/>
        <v>0</v>
      </c>
      <c r="F30" s="3636">
        <f t="shared" si="5"/>
        <v>0</v>
      </c>
      <c r="G30" s="3636">
        <f t="shared" si="5"/>
        <v>0</v>
      </c>
      <c r="H30" s="3636">
        <f t="shared" si="5"/>
        <v>0</v>
      </c>
      <c r="I30" s="3636">
        <f t="shared" si="5"/>
        <v>0</v>
      </c>
      <c r="J30" s="3636">
        <f t="shared" si="5"/>
        <v>0</v>
      </c>
      <c r="K30" s="3640">
        <f t="shared" si="5"/>
        <v>0</v>
      </c>
      <c r="L30" s="266"/>
      <c r="M30" s="260"/>
      <c r="N30" s="260"/>
      <c r="O30" s="260"/>
      <c r="P30" s="260"/>
      <c r="Q30" s="260"/>
      <c r="R30" s="260"/>
      <c r="S30" s="260"/>
      <c r="T30" s="260"/>
      <c r="U30" s="260"/>
      <c r="V30" s="260"/>
      <c r="W30" s="260"/>
      <c r="X30" s="260"/>
    </row>
    <row r="31" spans="1:24" s="265" customFormat="1" ht="24">
      <c r="A31" s="3705" t="s">
        <v>922</v>
      </c>
      <c r="B31" s="3670" t="s">
        <v>866</v>
      </c>
      <c r="C31" s="3113">
        <f t="shared" ref="C31:K31" si="6">ROUND(SUM(C32:C40),1)</f>
        <v>0</v>
      </c>
      <c r="D31" s="3113">
        <f>ROUND(SUM(D32:D40),1)</f>
        <v>0</v>
      </c>
      <c r="E31" s="3113">
        <f t="shared" si="6"/>
        <v>0</v>
      </c>
      <c r="F31" s="3636">
        <f t="shared" si="6"/>
        <v>0</v>
      </c>
      <c r="G31" s="3636">
        <f t="shared" si="6"/>
        <v>0</v>
      </c>
      <c r="H31" s="3636">
        <f t="shared" si="6"/>
        <v>0</v>
      </c>
      <c r="I31" s="3636">
        <f t="shared" si="6"/>
        <v>0</v>
      </c>
      <c r="J31" s="3636">
        <f t="shared" si="6"/>
        <v>0</v>
      </c>
      <c r="K31" s="3640">
        <f t="shared" si="6"/>
        <v>0</v>
      </c>
      <c r="L31" s="266"/>
      <c r="M31" s="260"/>
      <c r="N31" s="260"/>
      <c r="O31" s="260"/>
      <c r="P31" s="260"/>
      <c r="Q31" s="260"/>
      <c r="R31" s="260"/>
      <c r="S31" s="260"/>
      <c r="T31" s="260"/>
      <c r="U31" s="260"/>
      <c r="V31" s="260"/>
      <c r="W31" s="260"/>
      <c r="X31" s="260"/>
    </row>
    <row r="32" spans="1:24" s="265" customFormat="1" ht="14.25">
      <c r="A32" s="3766" t="s">
        <v>923</v>
      </c>
      <c r="B32" s="3668" t="s">
        <v>924</v>
      </c>
      <c r="C32" s="3743"/>
      <c r="D32" s="3743"/>
      <c r="E32" s="3637"/>
      <c r="F32" s="3637"/>
      <c r="G32" s="3637"/>
      <c r="H32" s="3637"/>
      <c r="I32" s="3637"/>
      <c r="J32" s="3637"/>
      <c r="K32" s="3642"/>
      <c r="L32" s="266"/>
      <c r="M32" s="260"/>
      <c r="N32" s="260"/>
      <c r="O32" s="260"/>
      <c r="P32" s="260"/>
      <c r="Q32" s="260"/>
      <c r="R32" s="260"/>
      <c r="S32" s="260"/>
      <c r="T32" s="260"/>
      <c r="U32" s="260"/>
      <c r="V32" s="260"/>
      <c r="W32" s="260"/>
      <c r="X32" s="260"/>
    </row>
    <row r="33" spans="1:24" s="265" customFormat="1" ht="14.25">
      <c r="A33" s="3766" t="s">
        <v>925</v>
      </c>
      <c r="B33" s="3668" t="s">
        <v>926</v>
      </c>
      <c r="C33" s="3743"/>
      <c r="D33" s="3743"/>
      <c r="E33" s="3637"/>
      <c r="F33" s="3637"/>
      <c r="G33" s="3637"/>
      <c r="H33" s="3637"/>
      <c r="I33" s="3637"/>
      <c r="J33" s="3637"/>
      <c r="K33" s="3642"/>
      <c r="L33" s="266"/>
      <c r="M33" s="260"/>
      <c r="N33" s="260"/>
      <c r="O33" s="260"/>
      <c r="P33" s="260"/>
      <c r="Q33" s="260"/>
      <c r="R33" s="260"/>
      <c r="S33" s="260"/>
      <c r="T33" s="260"/>
      <c r="U33" s="260"/>
      <c r="V33" s="260"/>
      <c r="W33" s="260"/>
      <c r="X33" s="260"/>
    </row>
    <row r="34" spans="1:24" s="265" customFormat="1" ht="14.25">
      <c r="A34" s="3766" t="s">
        <v>927</v>
      </c>
      <c r="B34" s="3668" t="s">
        <v>928</v>
      </c>
      <c r="C34" s="3743"/>
      <c r="D34" s="3743"/>
      <c r="E34" s="3637"/>
      <c r="F34" s="3637"/>
      <c r="G34" s="3637"/>
      <c r="H34" s="3637"/>
      <c r="I34" s="3637"/>
      <c r="J34" s="3637"/>
      <c r="K34" s="3642"/>
      <c r="L34" s="266"/>
      <c r="M34" s="260"/>
      <c r="N34" s="260"/>
      <c r="O34" s="260"/>
      <c r="P34" s="260"/>
      <c r="Q34" s="260"/>
      <c r="R34" s="260"/>
      <c r="S34" s="260"/>
      <c r="T34" s="260"/>
      <c r="U34" s="260"/>
      <c r="V34" s="260"/>
      <c r="W34" s="260"/>
      <c r="X34" s="260"/>
    </row>
    <row r="35" spans="1:24" s="265" customFormat="1" ht="14.25">
      <c r="A35" s="3766" t="s">
        <v>929</v>
      </c>
      <c r="B35" s="3668" t="s">
        <v>930</v>
      </c>
      <c r="C35" s="3743"/>
      <c r="D35" s="3743"/>
      <c r="E35" s="3637"/>
      <c r="F35" s="3637"/>
      <c r="G35" s="3637"/>
      <c r="H35" s="3637"/>
      <c r="I35" s="3637"/>
      <c r="J35" s="3637"/>
      <c r="K35" s="3642"/>
      <c r="L35" s="266"/>
      <c r="M35" s="260"/>
      <c r="N35" s="260"/>
      <c r="O35" s="260"/>
      <c r="P35" s="260"/>
      <c r="Q35" s="260"/>
      <c r="R35" s="260"/>
      <c r="S35" s="260"/>
      <c r="T35" s="260"/>
      <c r="U35" s="260"/>
      <c r="V35" s="260"/>
      <c r="W35" s="260"/>
      <c r="X35" s="260"/>
    </row>
    <row r="36" spans="1:24" s="265" customFormat="1" ht="14.25">
      <c r="A36" s="3766" t="s">
        <v>931</v>
      </c>
      <c r="B36" s="3668" t="s">
        <v>932</v>
      </c>
      <c r="C36" s="3743"/>
      <c r="D36" s="3743"/>
      <c r="E36" s="3637"/>
      <c r="F36" s="3637"/>
      <c r="G36" s="3637"/>
      <c r="H36" s="3637"/>
      <c r="I36" s="3637"/>
      <c r="J36" s="3637"/>
      <c r="K36" s="3642"/>
      <c r="L36" s="266"/>
      <c r="M36" s="260"/>
      <c r="N36" s="260"/>
      <c r="O36" s="260"/>
      <c r="P36" s="260"/>
      <c r="Q36" s="260"/>
      <c r="R36" s="260"/>
      <c r="S36" s="260"/>
      <c r="T36" s="260"/>
      <c r="U36" s="260"/>
      <c r="V36" s="260"/>
      <c r="W36" s="260"/>
      <c r="X36" s="260"/>
    </row>
    <row r="37" spans="1:24" s="265" customFormat="1" ht="14.25">
      <c r="A37" s="3766" t="s">
        <v>933</v>
      </c>
      <c r="B37" s="3668" t="s">
        <v>934</v>
      </c>
      <c r="C37" s="3743"/>
      <c r="D37" s="3743"/>
      <c r="E37" s="3637"/>
      <c r="F37" s="3637"/>
      <c r="G37" s="3637"/>
      <c r="H37" s="3637"/>
      <c r="I37" s="3637"/>
      <c r="J37" s="3637"/>
      <c r="K37" s="3642"/>
      <c r="L37" s="266"/>
      <c r="M37" s="260"/>
      <c r="N37" s="260"/>
      <c r="O37" s="260"/>
      <c r="P37" s="260"/>
      <c r="Q37" s="260"/>
      <c r="R37" s="260"/>
      <c r="S37" s="260"/>
      <c r="T37" s="260"/>
      <c r="U37" s="260"/>
      <c r="V37" s="260"/>
      <c r="W37" s="260"/>
      <c r="X37" s="260"/>
    </row>
    <row r="38" spans="1:24" s="265" customFormat="1" ht="24">
      <c r="A38" s="3766" t="s">
        <v>935</v>
      </c>
      <c r="B38" s="3668" t="s">
        <v>936</v>
      </c>
      <c r="C38" s="3743"/>
      <c r="D38" s="3743"/>
      <c r="E38" s="3637"/>
      <c r="F38" s="3637"/>
      <c r="G38" s="3637"/>
      <c r="H38" s="3637"/>
      <c r="I38" s="3637"/>
      <c r="J38" s="3637"/>
      <c r="K38" s="3642"/>
      <c r="L38" s="266"/>
      <c r="M38" s="260"/>
      <c r="N38" s="260"/>
      <c r="O38" s="260"/>
      <c r="P38" s="260"/>
      <c r="Q38" s="260"/>
      <c r="R38" s="260"/>
      <c r="S38" s="260"/>
      <c r="T38" s="260"/>
      <c r="U38" s="260"/>
      <c r="V38" s="260"/>
      <c r="W38" s="260"/>
      <c r="X38" s="260"/>
    </row>
    <row r="39" spans="1:24" s="265" customFormat="1" ht="24">
      <c r="A39" s="3768" t="s">
        <v>937</v>
      </c>
      <c r="B39" s="3668" t="s">
        <v>938</v>
      </c>
      <c r="C39" s="3743"/>
      <c r="D39" s="3743"/>
      <c r="E39" s="3637"/>
      <c r="F39" s="3637"/>
      <c r="G39" s="3637"/>
      <c r="H39" s="3637"/>
      <c r="I39" s="3637"/>
      <c r="J39" s="3637"/>
      <c r="K39" s="3642"/>
      <c r="L39" s="266"/>
      <c r="M39" s="260"/>
      <c r="N39" s="260"/>
      <c r="O39" s="260"/>
      <c r="P39" s="260"/>
      <c r="Q39" s="260"/>
      <c r="R39" s="260"/>
      <c r="S39" s="260"/>
      <c r="T39" s="260"/>
      <c r="U39" s="260"/>
      <c r="V39" s="260"/>
      <c r="W39" s="260"/>
      <c r="X39" s="260"/>
    </row>
    <row r="40" spans="1:24" s="265" customFormat="1" ht="24">
      <c r="A40" s="3766" t="s">
        <v>867</v>
      </c>
      <c r="B40" s="3668" t="s">
        <v>868</v>
      </c>
      <c r="C40" s="3743"/>
      <c r="D40" s="3743"/>
      <c r="E40" s="3637"/>
      <c r="F40" s="3637"/>
      <c r="G40" s="3637"/>
      <c r="H40" s="3637"/>
      <c r="I40" s="3637"/>
      <c r="J40" s="3637"/>
      <c r="K40" s="3642"/>
      <c r="L40" s="266"/>
      <c r="M40" s="260"/>
      <c r="N40" s="260"/>
      <c r="O40" s="260"/>
      <c r="P40" s="260"/>
      <c r="Q40" s="260"/>
      <c r="R40" s="260"/>
      <c r="S40" s="260"/>
      <c r="T40" s="260"/>
      <c r="U40" s="260"/>
      <c r="V40" s="260"/>
      <c r="W40" s="260"/>
      <c r="X40" s="260"/>
    </row>
    <row r="41" spans="1:24" s="265" customFormat="1" ht="15">
      <c r="A41" s="3705" t="s">
        <v>939</v>
      </c>
      <c r="B41" s="3670" t="s">
        <v>940</v>
      </c>
      <c r="C41" s="3636"/>
      <c r="D41" s="3636"/>
      <c r="E41" s="3636"/>
      <c r="F41" s="3636"/>
      <c r="G41" s="3636"/>
      <c r="H41" s="3636"/>
      <c r="I41" s="3636"/>
      <c r="J41" s="3636"/>
      <c r="K41" s="3640"/>
      <c r="L41" s="266"/>
      <c r="M41" s="260"/>
      <c r="N41" s="260"/>
      <c r="O41" s="260"/>
      <c r="P41" s="260"/>
      <c r="Q41" s="260"/>
      <c r="R41" s="260"/>
      <c r="S41" s="260"/>
      <c r="T41" s="260"/>
      <c r="U41" s="260"/>
      <c r="V41" s="260"/>
      <c r="W41" s="260"/>
      <c r="X41" s="260"/>
    </row>
    <row r="42" spans="1:24" s="265" customFormat="1" ht="36">
      <c r="A42" s="3705" t="s">
        <v>941</v>
      </c>
      <c r="B42" s="3670" t="s">
        <v>942</v>
      </c>
      <c r="C42" s="3636">
        <f t="shared" ref="C42:K42" si="7">ROUND(+C43,1)</f>
        <v>0</v>
      </c>
      <c r="D42" s="3636">
        <f t="shared" si="7"/>
        <v>0</v>
      </c>
      <c r="E42" s="3636">
        <f t="shared" si="7"/>
        <v>0</v>
      </c>
      <c r="F42" s="3636">
        <f t="shared" si="7"/>
        <v>0</v>
      </c>
      <c r="G42" s="3636">
        <f t="shared" si="7"/>
        <v>0</v>
      </c>
      <c r="H42" s="3636">
        <f t="shared" si="7"/>
        <v>0</v>
      </c>
      <c r="I42" s="3636">
        <f t="shared" si="7"/>
        <v>0</v>
      </c>
      <c r="J42" s="3636">
        <f t="shared" si="7"/>
        <v>0</v>
      </c>
      <c r="K42" s="3640">
        <f t="shared" si="7"/>
        <v>0</v>
      </c>
      <c r="L42" s="266"/>
      <c r="M42" s="260"/>
      <c r="N42" s="260"/>
      <c r="O42" s="260"/>
      <c r="P42" s="260"/>
      <c r="Q42" s="260"/>
      <c r="R42" s="260"/>
      <c r="S42" s="260"/>
      <c r="T42" s="260"/>
      <c r="U42" s="260"/>
      <c r="V42" s="260"/>
      <c r="W42" s="260"/>
      <c r="X42" s="260"/>
    </row>
    <row r="43" spans="1:24" s="265" customFormat="1" ht="15" customHeight="1">
      <c r="A43" s="3766" t="s">
        <v>943</v>
      </c>
      <c r="B43" s="3668" t="s">
        <v>944</v>
      </c>
      <c r="C43" s="3637"/>
      <c r="D43" s="3637"/>
      <c r="E43" s="3637"/>
      <c r="F43" s="3637"/>
      <c r="G43" s="3637"/>
      <c r="H43" s="3637"/>
      <c r="I43" s="3637"/>
      <c r="J43" s="3637"/>
      <c r="K43" s="3642"/>
      <c r="L43" s="266"/>
      <c r="M43" s="260"/>
      <c r="N43" s="260"/>
      <c r="O43" s="260"/>
      <c r="P43" s="260"/>
      <c r="Q43" s="260"/>
      <c r="R43" s="260"/>
      <c r="S43" s="260"/>
      <c r="T43" s="260"/>
      <c r="U43" s="260"/>
      <c r="V43" s="260"/>
      <c r="W43" s="260"/>
      <c r="X43" s="260"/>
    </row>
    <row r="44" spans="1:24" s="265" customFormat="1" ht="24">
      <c r="A44" s="3769" t="s">
        <v>945</v>
      </c>
      <c r="B44" s="3670" t="s">
        <v>946</v>
      </c>
      <c r="C44" s="3636">
        <f t="shared" ref="C44:K44" si="8">ROUND(C45+C46,1)</f>
        <v>0</v>
      </c>
      <c r="D44" s="3636">
        <f>ROUND(D45+D46,1)</f>
        <v>0</v>
      </c>
      <c r="E44" s="3636">
        <f t="shared" si="8"/>
        <v>0</v>
      </c>
      <c r="F44" s="3636">
        <f t="shared" si="8"/>
        <v>0</v>
      </c>
      <c r="G44" s="3636">
        <f t="shared" si="8"/>
        <v>0</v>
      </c>
      <c r="H44" s="3636">
        <f t="shared" si="8"/>
        <v>0</v>
      </c>
      <c r="I44" s="3636">
        <f t="shared" si="8"/>
        <v>0</v>
      </c>
      <c r="J44" s="3636">
        <f t="shared" si="8"/>
        <v>0</v>
      </c>
      <c r="K44" s="3640">
        <f t="shared" si="8"/>
        <v>0</v>
      </c>
      <c r="L44" s="266"/>
      <c r="M44" s="260"/>
      <c r="N44" s="260"/>
      <c r="O44" s="260"/>
      <c r="P44" s="260"/>
      <c r="Q44" s="260"/>
      <c r="R44" s="260"/>
      <c r="S44" s="260"/>
      <c r="T44" s="260"/>
      <c r="U44" s="260"/>
      <c r="V44" s="260"/>
      <c r="W44" s="260"/>
      <c r="X44" s="260"/>
    </row>
    <row r="45" spans="1:24" s="265" customFormat="1" ht="15" customHeight="1">
      <c r="A45" s="3766" t="s">
        <v>947</v>
      </c>
      <c r="B45" s="3668" t="s">
        <v>948</v>
      </c>
      <c r="C45" s="3743"/>
      <c r="D45" s="3743"/>
      <c r="E45" s="3637"/>
      <c r="F45" s="3637"/>
      <c r="G45" s="3637"/>
      <c r="H45" s="3637"/>
      <c r="I45" s="3637"/>
      <c r="J45" s="3637"/>
      <c r="K45" s="3642"/>
      <c r="L45" s="266"/>
      <c r="M45" s="260"/>
      <c r="N45" s="260"/>
      <c r="O45" s="260"/>
      <c r="P45" s="260"/>
      <c r="Q45" s="260"/>
      <c r="R45" s="260"/>
      <c r="S45" s="260"/>
      <c r="T45" s="260"/>
      <c r="U45" s="260"/>
      <c r="V45" s="260"/>
      <c r="W45" s="260"/>
      <c r="X45" s="260"/>
    </row>
    <row r="46" spans="1:24" s="265" customFormat="1" ht="15" customHeight="1">
      <c r="A46" s="3766" t="s">
        <v>949</v>
      </c>
      <c r="B46" s="3668" t="s">
        <v>950</v>
      </c>
      <c r="C46" s="3743"/>
      <c r="D46" s="3743"/>
      <c r="E46" s="3637"/>
      <c r="F46" s="3637"/>
      <c r="G46" s="3637"/>
      <c r="H46" s="3637"/>
      <c r="I46" s="3637"/>
      <c r="J46" s="3637"/>
      <c r="K46" s="3642"/>
      <c r="L46" s="266"/>
      <c r="M46" s="260"/>
      <c r="N46" s="260"/>
      <c r="O46" s="260"/>
      <c r="P46" s="260"/>
      <c r="Q46" s="260"/>
      <c r="R46" s="260"/>
      <c r="S46" s="260"/>
      <c r="T46" s="260"/>
      <c r="U46" s="260"/>
      <c r="V46" s="260"/>
      <c r="W46" s="260"/>
      <c r="X46" s="260"/>
    </row>
    <row r="47" spans="1:24" s="265" customFormat="1" ht="24">
      <c r="A47" s="3705" t="s">
        <v>951</v>
      </c>
      <c r="B47" s="3670" t="s">
        <v>952</v>
      </c>
      <c r="C47" s="3636"/>
      <c r="D47" s="3636"/>
      <c r="E47" s="3636"/>
      <c r="F47" s="3636"/>
      <c r="G47" s="3636"/>
      <c r="H47" s="3636"/>
      <c r="I47" s="3636"/>
      <c r="J47" s="3636"/>
      <c r="K47" s="3640"/>
      <c r="L47" s="266"/>
      <c r="M47" s="260"/>
      <c r="N47" s="260"/>
      <c r="O47" s="260"/>
      <c r="P47" s="260"/>
      <c r="Q47" s="260"/>
      <c r="R47" s="260"/>
      <c r="S47" s="260"/>
      <c r="T47" s="260"/>
      <c r="U47" s="260"/>
      <c r="V47" s="260"/>
      <c r="W47" s="260"/>
      <c r="X47" s="260"/>
    </row>
    <row r="48" spans="1:24" s="265" customFormat="1" ht="15" customHeight="1">
      <c r="A48" s="3705" t="s">
        <v>953</v>
      </c>
      <c r="B48" s="3670" t="s">
        <v>954</v>
      </c>
      <c r="C48" s="3636"/>
      <c r="D48" s="3636"/>
      <c r="E48" s="3636"/>
      <c r="F48" s="3636"/>
      <c r="G48" s="3636"/>
      <c r="H48" s="3636"/>
      <c r="I48" s="3636"/>
      <c r="J48" s="3636"/>
      <c r="K48" s="3640"/>
      <c r="L48" s="266"/>
      <c r="M48" s="260"/>
      <c r="N48" s="260"/>
      <c r="O48" s="260"/>
      <c r="P48" s="260"/>
      <c r="Q48" s="260"/>
      <c r="R48" s="260"/>
      <c r="S48" s="260"/>
      <c r="T48" s="260"/>
      <c r="U48" s="260"/>
      <c r="V48" s="260"/>
      <c r="W48" s="260"/>
      <c r="X48" s="260"/>
    </row>
    <row r="49" spans="1:24" s="265" customFormat="1" ht="15" customHeight="1">
      <c r="A49" s="3705" t="s">
        <v>955</v>
      </c>
      <c r="B49" s="3670" t="s">
        <v>956</v>
      </c>
      <c r="C49" s="3636"/>
      <c r="D49" s="3636"/>
      <c r="E49" s="3636"/>
      <c r="F49" s="3636"/>
      <c r="G49" s="3636"/>
      <c r="H49" s="3636"/>
      <c r="I49" s="3636"/>
      <c r="J49" s="3636"/>
      <c r="K49" s="3640"/>
      <c r="L49" s="266"/>
      <c r="M49" s="260"/>
      <c r="N49" s="260"/>
      <c r="O49" s="260"/>
      <c r="P49" s="260"/>
      <c r="Q49" s="260"/>
      <c r="R49" s="260"/>
      <c r="S49" s="260"/>
      <c r="T49" s="260"/>
      <c r="U49" s="260"/>
      <c r="V49" s="260"/>
      <c r="W49" s="260"/>
      <c r="X49" s="260"/>
    </row>
    <row r="50" spans="1:24" s="265" customFormat="1" ht="15" customHeight="1">
      <c r="A50" s="3705" t="s">
        <v>957</v>
      </c>
      <c r="B50" s="3670" t="s">
        <v>958</v>
      </c>
      <c r="C50" s="3636"/>
      <c r="D50" s="3636"/>
      <c r="E50" s="3636"/>
      <c r="F50" s="3636"/>
      <c r="G50" s="3636"/>
      <c r="H50" s="3636"/>
      <c r="I50" s="3636"/>
      <c r="J50" s="3636"/>
      <c r="K50" s="3640"/>
      <c r="L50" s="266"/>
      <c r="M50" s="260"/>
      <c r="N50" s="260"/>
      <c r="O50" s="260"/>
      <c r="P50" s="260"/>
      <c r="Q50" s="260"/>
      <c r="R50" s="260"/>
      <c r="S50" s="260"/>
      <c r="T50" s="260"/>
      <c r="U50" s="260"/>
      <c r="V50" s="260"/>
      <c r="W50" s="260"/>
      <c r="X50" s="260"/>
    </row>
    <row r="51" spans="1:24" s="265" customFormat="1" ht="48">
      <c r="A51" s="3705" t="s">
        <v>2093</v>
      </c>
      <c r="B51" s="3670" t="s">
        <v>2096</v>
      </c>
      <c r="C51" s="3636"/>
      <c r="D51" s="3636"/>
      <c r="E51" s="3636"/>
      <c r="F51" s="3636"/>
      <c r="G51" s="3636"/>
      <c r="H51" s="3636"/>
      <c r="I51" s="3636"/>
      <c r="J51" s="3636"/>
      <c r="K51" s="3640"/>
      <c r="L51" s="266"/>
      <c r="M51" s="260"/>
      <c r="N51" s="260"/>
      <c r="O51" s="260"/>
      <c r="P51" s="260"/>
      <c r="Q51" s="260"/>
      <c r="R51" s="260"/>
      <c r="S51" s="260"/>
      <c r="T51" s="260"/>
      <c r="U51" s="260"/>
      <c r="V51" s="260"/>
      <c r="W51" s="260"/>
      <c r="X51" s="260"/>
    </row>
    <row r="52" spans="1:24" s="265" customFormat="1" ht="24">
      <c r="A52" s="3705" t="s">
        <v>959</v>
      </c>
      <c r="B52" s="3670" t="s">
        <v>869</v>
      </c>
      <c r="C52" s="3746"/>
      <c r="D52" s="3746"/>
      <c r="E52" s="3637"/>
      <c r="F52" s="3637"/>
      <c r="G52" s="3637"/>
      <c r="H52" s="3637"/>
      <c r="I52" s="3637"/>
      <c r="J52" s="3637"/>
      <c r="K52" s="3642"/>
      <c r="L52" s="266"/>
      <c r="M52" s="260"/>
      <c r="N52" s="260"/>
      <c r="O52" s="260"/>
      <c r="P52" s="260"/>
      <c r="Q52" s="260"/>
      <c r="R52" s="260"/>
      <c r="S52" s="260"/>
      <c r="T52" s="260"/>
      <c r="U52" s="260"/>
      <c r="V52" s="260"/>
      <c r="W52" s="260"/>
      <c r="X52" s="260"/>
    </row>
    <row r="53" spans="1:24" s="265" customFormat="1" ht="14.25">
      <c r="A53" s="3766" t="s">
        <v>870</v>
      </c>
      <c r="B53" s="3668" t="s">
        <v>871</v>
      </c>
      <c r="C53" s="3743"/>
      <c r="D53" s="3743"/>
      <c r="E53" s="3637"/>
      <c r="F53" s="3637"/>
      <c r="G53" s="3637"/>
      <c r="H53" s="3637"/>
      <c r="I53" s="3637"/>
      <c r="J53" s="3637"/>
      <c r="K53" s="3642"/>
      <c r="L53" s="266"/>
      <c r="M53" s="260"/>
      <c r="N53" s="260"/>
      <c r="O53" s="260"/>
      <c r="P53" s="260"/>
      <c r="Q53" s="260"/>
      <c r="R53" s="260"/>
      <c r="S53" s="260"/>
      <c r="T53" s="260"/>
      <c r="U53" s="260"/>
      <c r="V53" s="260"/>
      <c r="W53" s="260"/>
      <c r="X53" s="260"/>
    </row>
    <row r="54" spans="1:24" s="265" customFormat="1" ht="14.25">
      <c r="A54" s="3699" t="s">
        <v>960</v>
      </c>
      <c r="B54" s="3668" t="s">
        <v>961</v>
      </c>
      <c r="C54" s="3743"/>
      <c r="D54" s="3743"/>
      <c r="E54" s="3637"/>
      <c r="F54" s="3637"/>
      <c r="G54" s="3637"/>
      <c r="H54" s="3637"/>
      <c r="I54" s="3637"/>
      <c r="J54" s="3637"/>
      <c r="K54" s="3642"/>
      <c r="L54" s="266"/>
      <c r="M54" s="260"/>
      <c r="N54" s="260"/>
      <c r="O54" s="260"/>
      <c r="P54" s="260"/>
      <c r="Q54" s="260"/>
      <c r="R54" s="260"/>
      <c r="S54" s="260"/>
      <c r="T54" s="260"/>
      <c r="U54" s="260"/>
      <c r="V54" s="260"/>
      <c r="W54" s="260"/>
      <c r="X54" s="260"/>
    </row>
    <row r="55" spans="1:24" s="265" customFormat="1" ht="24" hidden="1">
      <c r="A55" s="3764" t="s">
        <v>962</v>
      </c>
      <c r="B55" s="3670" t="s">
        <v>759</v>
      </c>
      <c r="C55" s="3636">
        <f t="shared" ref="C55:K56" si="9">C56</f>
        <v>0</v>
      </c>
      <c r="D55" s="3636">
        <f t="shared" si="9"/>
        <v>0</v>
      </c>
      <c r="E55" s="3636">
        <f t="shared" si="9"/>
        <v>0</v>
      </c>
      <c r="F55" s="3636">
        <f t="shared" si="9"/>
        <v>0</v>
      </c>
      <c r="G55" s="3636">
        <f t="shared" si="9"/>
        <v>0</v>
      </c>
      <c r="H55" s="3636">
        <f t="shared" si="9"/>
        <v>0</v>
      </c>
      <c r="I55" s="3636">
        <f t="shared" si="9"/>
        <v>0</v>
      </c>
      <c r="J55" s="3636">
        <f t="shared" si="9"/>
        <v>0</v>
      </c>
      <c r="K55" s="3640">
        <f t="shared" si="9"/>
        <v>0</v>
      </c>
      <c r="L55" s="266"/>
      <c r="M55" s="260"/>
      <c r="N55" s="260"/>
      <c r="O55" s="260"/>
      <c r="P55" s="260"/>
      <c r="Q55" s="260"/>
      <c r="R55" s="260"/>
      <c r="S55" s="260"/>
      <c r="T55" s="260"/>
      <c r="U55" s="260"/>
      <c r="V55" s="260"/>
      <c r="W55" s="260"/>
      <c r="X55" s="260"/>
    </row>
    <row r="56" spans="1:24" s="265" customFormat="1" ht="15" hidden="1">
      <c r="A56" s="3705" t="s">
        <v>963</v>
      </c>
      <c r="B56" s="3670" t="s">
        <v>964</v>
      </c>
      <c r="C56" s="3636">
        <f t="shared" si="9"/>
        <v>0</v>
      </c>
      <c r="D56" s="3636">
        <f t="shared" si="9"/>
        <v>0</v>
      </c>
      <c r="E56" s="3636">
        <f t="shared" si="9"/>
        <v>0</v>
      </c>
      <c r="F56" s="3636">
        <f t="shared" si="9"/>
        <v>0</v>
      </c>
      <c r="G56" s="3636">
        <f t="shared" si="9"/>
        <v>0</v>
      </c>
      <c r="H56" s="3636">
        <f t="shared" si="9"/>
        <v>0</v>
      </c>
      <c r="I56" s="3636">
        <f t="shared" si="9"/>
        <v>0</v>
      </c>
      <c r="J56" s="3636">
        <f t="shared" si="9"/>
        <v>0</v>
      </c>
      <c r="K56" s="3640">
        <f t="shared" si="9"/>
        <v>0</v>
      </c>
      <c r="L56" s="266"/>
      <c r="M56" s="260"/>
      <c r="N56" s="260"/>
      <c r="O56" s="260"/>
      <c r="P56" s="260"/>
      <c r="Q56" s="260"/>
      <c r="R56" s="260"/>
      <c r="S56" s="260"/>
      <c r="T56" s="260"/>
      <c r="U56" s="260"/>
      <c r="V56" s="260"/>
      <c r="W56" s="260"/>
      <c r="X56" s="260"/>
    </row>
    <row r="57" spans="1:24" s="265" customFormat="1" ht="15" hidden="1" customHeight="1">
      <c r="A57" s="3768" t="s">
        <v>965</v>
      </c>
      <c r="B57" s="3668" t="s">
        <v>966</v>
      </c>
      <c r="C57" s="3743"/>
      <c r="D57" s="3743"/>
      <c r="E57" s="3637"/>
      <c r="F57" s="3637"/>
      <c r="G57" s="3637"/>
      <c r="H57" s="3637"/>
      <c r="I57" s="3637"/>
      <c r="J57" s="3637"/>
      <c r="K57" s="3642"/>
      <c r="L57" s="266"/>
      <c r="M57" s="260"/>
      <c r="N57" s="260"/>
      <c r="O57" s="260"/>
      <c r="P57" s="260"/>
      <c r="Q57" s="260"/>
      <c r="R57" s="260"/>
      <c r="S57" s="260"/>
      <c r="T57" s="260"/>
      <c r="U57" s="260"/>
      <c r="V57" s="260"/>
      <c r="W57" s="260"/>
      <c r="X57" s="260"/>
    </row>
    <row r="58" spans="1:24" s="265" customFormat="1" ht="36" hidden="1">
      <c r="A58" s="3770" t="s">
        <v>1016</v>
      </c>
      <c r="B58" s="3747" t="s">
        <v>1017</v>
      </c>
      <c r="C58" s="3637">
        <f t="shared" ref="C58:K58" si="10">C59+C63</f>
        <v>0</v>
      </c>
      <c r="D58" s="3637">
        <f>D59+D63</f>
        <v>0</v>
      </c>
      <c r="E58" s="3637">
        <f t="shared" si="10"/>
        <v>0</v>
      </c>
      <c r="F58" s="3637">
        <f t="shared" si="10"/>
        <v>0</v>
      </c>
      <c r="G58" s="3637">
        <f t="shared" si="10"/>
        <v>0</v>
      </c>
      <c r="H58" s="3637">
        <f t="shared" si="10"/>
        <v>0</v>
      </c>
      <c r="I58" s="3637">
        <f t="shared" si="10"/>
        <v>0</v>
      </c>
      <c r="J58" s="3637">
        <f t="shared" si="10"/>
        <v>0</v>
      </c>
      <c r="K58" s="3642">
        <f t="shared" si="10"/>
        <v>0</v>
      </c>
      <c r="L58" s="266"/>
      <c r="M58" s="260"/>
      <c r="N58" s="260"/>
      <c r="O58" s="260"/>
      <c r="P58" s="260"/>
      <c r="Q58" s="260"/>
      <c r="R58" s="260"/>
      <c r="S58" s="260"/>
      <c r="T58" s="260"/>
      <c r="U58" s="260"/>
      <c r="V58" s="260"/>
      <c r="W58" s="260"/>
      <c r="X58" s="260"/>
    </row>
    <row r="59" spans="1:24" s="265" customFormat="1" ht="36" hidden="1">
      <c r="A59" s="3771" t="s">
        <v>1018</v>
      </c>
      <c r="B59" s="3747" t="s">
        <v>1019</v>
      </c>
      <c r="C59" s="3637">
        <f t="shared" ref="C59:K59" si="11">SUM(C60:C62)</f>
        <v>0</v>
      </c>
      <c r="D59" s="3637">
        <f>SUM(D60:D62)</f>
        <v>0</v>
      </c>
      <c r="E59" s="3637">
        <f t="shared" si="11"/>
        <v>0</v>
      </c>
      <c r="F59" s="3637">
        <f t="shared" si="11"/>
        <v>0</v>
      </c>
      <c r="G59" s="3637">
        <f t="shared" si="11"/>
        <v>0</v>
      </c>
      <c r="H59" s="3637">
        <f t="shared" si="11"/>
        <v>0</v>
      </c>
      <c r="I59" s="3637">
        <f t="shared" si="11"/>
        <v>0</v>
      </c>
      <c r="J59" s="3637">
        <f t="shared" si="11"/>
        <v>0</v>
      </c>
      <c r="K59" s="3642">
        <f t="shared" si="11"/>
        <v>0</v>
      </c>
      <c r="L59" s="266"/>
      <c r="M59" s="260"/>
      <c r="N59" s="260"/>
      <c r="O59" s="260"/>
      <c r="P59" s="260"/>
      <c r="Q59" s="260"/>
      <c r="R59" s="260"/>
      <c r="S59" s="260"/>
      <c r="T59" s="260"/>
      <c r="U59" s="260"/>
      <c r="V59" s="260"/>
      <c r="W59" s="260"/>
      <c r="X59" s="260"/>
    </row>
    <row r="60" spans="1:24" s="265" customFormat="1" ht="15" hidden="1" customHeight="1">
      <c r="A60" s="3772" t="s">
        <v>1020</v>
      </c>
      <c r="B60" s="3748" t="s">
        <v>1021</v>
      </c>
      <c r="C60" s="3637"/>
      <c r="D60" s="3637"/>
      <c r="E60" s="3637"/>
      <c r="F60" s="3637"/>
      <c r="G60" s="3637"/>
      <c r="H60" s="3637"/>
      <c r="I60" s="3637"/>
      <c r="J60" s="3637"/>
      <c r="K60" s="3642"/>
      <c r="L60" s="266"/>
      <c r="M60" s="260"/>
      <c r="N60" s="260"/>
      <c r="O60" s="260"/>
      <c r="P60" s="260"/>
      <c r="Q60" s="260"/>
      <c r="R60" s="260"/>
      <c r="S60" s="260"/>
      <c r="T60" s="260"/>
      <c r="U60" s="260"/>
      <c r="V60" s="260"/>
      <c r="W60" s="260"/>
      <c r="X60" s="260"/>
    </row>
    <row r="61" spans="1:24" s="265" customFormat="1" ht="15" hidden="1" customHeight="1">
      <c r="A61" s="3772" t="s">
        <v>1022</v>
      </c>
      <c r="B61" s="3748" t="s">
        <v>1023</v>
      </c>
      <c r="C61" s="3637"/>
      <c r="D61" s="3637"/>
      <c r="E61" s="3637"/>
      <c r="F61" s="3637"/>
      <c r="G61" s="3637"/>
      <c r="H61" s="3637"/>
      <c r="I61" s="3637"/>
      <c r="J61" s="3637"/>
      <c r="K61" s="3642"/>
      <c r="L61" s="266"/>
      <c r="M61" s="260"/>
      <c r="N61" s="260"/>
      <c r="O61" s="260"/>
      <c r="P61" s="260"/>
      <c r="Q61" s="260"/>
      <c r="R61" s="260"/>
      <c r="S61" s="260"/>
      <c r="T61" s="260"/>
      <c r="U61" s="260"/>
      <c r="V61" s="260"/>
      <c r="W61" s="260"/>
      <c r="X61" s="260"/>
    </row>
    <row r="62" spans="1:24" s="265" customFormat="1" ht="15" hidden="1" customHeight="1">
      <c r="A62" s="3772" t="s">
        <v>1024</v>
      </c>
      <c r="B62" s="3748" t="s">
        <v>1025</v>
      </c>
      <c r="C62" s="3637"/>
      <c r="D62" s="3637"/>
      <c r="E62" s="3637"/>
      <c r="F62" s="3637"/>
      <c r="G62" s="3637"/>
      <c r="H62" s="3637"/>
      <c r="I62" s="3637"/>
      <c r="J62" s="3637"/>
      <c r="K62" s="3642"/>
      <c r="L62" s="266"/>
      <c r="M62" s="260"/>
      <c r="N62" s="260"/>
      <c r="O62" s="260"/>
      <c r="P62" s="260"/>
      <c r="Q62" s="260"/>
      <c r="R62" s="260"/>
      <c r="S62" s="260"/>
      <c r="T62" s="260"/>
      <c r="U62" s="260"/>
      <c r="V62" s="260"/>
      <c r="W62" s="260"/>
      <c r="X62" s="260"/>
    </row>
    <row r="63" spans="1:24" s="265" customFormat="1" ht="36" hidden="1">
      <c r="A63" s="3773" t="s">
        <v>1026</v>
      </c>
      <c r="B63" s="3747" t="s">
        <v>1027</v>
      </c>
      <c r="C63" s="3637">
        <f t="shared" ref="C63:K63" si="12">SUM(C64:C66)</f>
        <v>0</v>
      </c>
      <c r="D63" s="3637">
        <f>SUM(D64:D66)</f>
        <v>0</v>
      </c>
      <c r="E63" s="3637">
        <f t="shared" si="12"/>
        <v>0</v>
      </c>
      <c r="F63" s="3637">
        <f t="shared" si="12"/>
        <v>0</v>
      </c>
      <c r="G63" s="3637">
        <f t="shared" si="12"/>
        <v>0</v>
      </c>
      <c r="H63" s="3637">
        <f t="shared" si="12"/>
        <v>0</v>
      </c>
      <c r="I63" s="3637">
        <f t="shared" si="12"/>
        <v>0</v>
      </c>
      <c r="J63" s="3637">
        <f t="shared" si="12"/>
        <v>0</v>
      </c>
      <c r="K63" s="3642">
        <f t="shared" si="12"/>
        <v>0</v>
      </c>
      <c r="L63" s="266"/>
      <c r="M63" s="260"/>
      <c r="N63" s="260"/>
      <c r="O63" s="260"/>
      <c r="P63" s="260"/>
      <c r="Q63" s="260"/>
      <c r="R63" s="260"/>
      <c r="S63" s="260"/>
      <c r="T63" s="260"/>
      <c r="U63" s="260"/>
      <c r="V63" s="260"/>
      <c r="W63" s="260"/>
      <c r="X63" s="260"/>
    </row>
    <row r="64" spans="1:24" s="265" customFormat="1" ht="15" hidden="1" customHeight="1">
      <c r="A64" s="3772" t="s">
        <v>1020</v>
      </c>
      <c r="B64" s="3748" t="s">
        <v>1028</v>
      </c>
      <c r="C64" s="3749"/>
      <c r="D64" s="3749"/>
      <c r="E64" s="3637"/>
      <c r="F64" s="3637"/>
      <c r="G64" s="3637"/>
      <c r="H64" s="3637"/>
      <c r="I64" s="3637"/>
      <c r="J64" s="3637"/>
      <c r="K64" s="3642"/>
      <c r="L64" s="266"/>
      <c r="M64" s="260"/>
      <c r="N64" s="260"/>
      <c r="O64" s="260"/>
      <c r="P64" s="260"/>
      <c r="Q64" s="260"/>
      <c r="R64" s="260"/>
      <c r="S64" s="260"/>
      <c r="T64" s="260"/>
      <c r="U64" s="260"/>
      <c r="V64" s="260"/>
      <c r="W64" s="260"/>
      <c r="X64" s="260"/>
    </row>
    <row r="65" spans="1:24" s="265" customFormat="1" ht="15" hidden="1" customHeight="1">
      <c r="A65" s="3772" t="s">
        <v>1022</v>
      </c>
      <c r="B65" s="3748" t="s">
        <v>1029</v>
      </c>
      <c r="C65" s="3749"/>
      <c r="D65" s="3749"/>
      <c r="E65" s="3637"/>
      <c r="F65" s="3637"/>
      <c r="G65" s="3637"/>
      <c r="H65" s="3637"/>
      <c r="I65" s="3637"/>
      <c r="J65" s="3637"/>
      <c r="K65" s="3642"/>
      <c r="L65" s="266"/>
      <c r="M65" s="260"/>
      <c r="N65" s="260"/>
      <c r="O65" s="260"/>
      <c r="P65" s="260"/>
      <c r="Q65" s="260"/>
      <c r="R65" s="260"/>
      <c r="S65" s="260"/>
      <c r="T65" s="260"/>
      <c r="U65" s="260"/>
      <c r="V65" s="260"/>
      <c r="W65" s="260"/>
      <c r="X65" s="260"/>
    </row>
    <row r="66" spans="1:24" s="265" customFormat="1" ht="15" hidden="1" customHeight="1">
      <c r="A66" s="3772" t="s">
        <v>1024</v>
      </c>
      <c r="B66" s="3748" t="s">
        <v>1030</v>
      </c>
      <c r="C66" s="3749"/>
      <c r="D66" s="3749"/>
      <c r="E66" s="3637"/>
      <c r="F66" s="3637"/>
      <c r="G66" s="3637"/>
      <c r="H66" s="3637"/>
      <c r="I66" s="3637"/>
      <c r="J66" s="3637"/>
      <c r="K66" s="3642"/>
      <c r="L66" s="266"/>
      <c r="M66" s="260"/>
      <c r="N66" s="260"/>
      <c r="O66" s="260"/>
      <c r="P66" s="260"/>
      <c r="Q66" s="260"/>
      <c r="R66" s="260"/>
      <c r="S66" s="260"/>
      <c r="T66" s="260"/>
      <c r="U66" s="260"/>
      <c r="V66" s="260"/>
      <c r="W66" s="260"/>
      <c r="X66" s="260"/>
    </row>
    <row r="67" spans="1:24" s="265" customFormat="1" ht="30.6" customHeight="1">
      <c r="A67" s="3770" t="s">
        <v>984</v>
      </c>
      <c r="B67" s="3747" t="s">
        <v>985</v>
      </c>
      <c r="C67" s="3636">
        <f t="shared" ref="C67:K68" si="13">C68</f>
        <v>14664000</v>
      </c>
      <c r="D67" s="3636">
        <f t="shared" si="13"/>
        <v>9583000</v>
      </c>
      <c r="E67" s="3636">
        <f t="shared" si="13"/>
        <v>14664000</v>
      </c>
      <c r="F67" s="3636">
        <f t="shared" si="13"/>
        <v>9583000</v>
      </c>
      <c r="G67" s="3636">
        <f t="shared" si="13"/>
        <v>9580511</v>
      </c>
      <c r="H67" s="3636">
        <f t="shared" si="13"/>
        <v>9580511</v>
      </c>
      <c r="I67" s="3636">
        <f t="shared" si="13"/>
        <v>9580511</v>
      </c>
      <c r="J67" s="3636">
        <f t="shared" si="13"/>
        <v>0</v>
      </c>
      <c r="K67" s="3640">
        <f t="shared" si="13"/>
        <v>9580511</v>
      </c>
      <c r="L67" s="266"/>
      <c r="M67" s="260"/>
      <c r="N67" s="260"/>
      <c r="O67" s="260"/>
      <c r="P67" s="260"/>
      <c r="Q67" s="260"/>
      <c r="R67" s="260"/>
      <c r="S67" s="260"/>
      <c r="T67" s="260"/>
      <c r="U67" s="260"/>
      <c r="V67" s="260"/>
      <c r="W67" s="260"/>
      <c r="X67" s="260"/>
    </row>
    <row r="68" spans="1:24" s="265" customFormat="1" ht="28.15" customHeight="1">
      <c r="A68" s="3769" t="s">
        <v>986</v>
      </c>
      <c r="B68" s="3670" t="s">
        <v>987</v>
      </c>
      <c r="C68" s="3636">
        <f t="shared" si="13"/>
        <v>14664000</v>
      </c>
      <c r="D68" s="3636">
        <f t="shared" si="13"/>
        <v>9583000</v>
      </c>
      <c r="E68" s="3636">
        <f t="shared" si="13"/>
        <v>14664000</v>
      </c>
      <c r="F68" s="3636">
        <f t="shared" si="13"/>
        <v>9583000</v>
      </c>
      <c r="G68" s="3636">
        <f t="shared" si="13"/>
        <v>9580511</v>
      </c>
      <c r="H68" s="3636">
        <f t="shared" si="13"/>
        <v>9580511</v>
      </c>
      <c r="I68" s="3636">
        <f t="shared" si="13"/>
        <v>9580511</v>
      </c>
      <c r="J68" s="3636">
        <f t="shared" si="13"/>
        <v>0</v>
      </c>
      <c r="K68" s="3640">
        <f t="shared" si="13"/>
        <v>9580511</v>
      </c>
      <c r="L68" s="266"/>
      <c r="M68" s="260"/>
      <c r="N68" s="260"/>
      <c r="O68" s="260"/>
      <c r="P68" s="260"/>
      <c r="Q68" s="260"/>
      <c r="R68" s="260"/>
      <c r="S68" s="260"/>
      <c r="T68" s="260"/>
      <c r="U68" s="260"/>
      <c r="V68" s="260"/>
      <c r="W68" s="260"/>
      <c r="X68" s="260"/>
    </row>
    <row r="69" spans="1:24" s="265" customFormat="1" ht="21" customHeight="1">
      <c r="A69" s="3765" t="s">
        <v>988</v>
      </c>
      <c r="B69" s="3668" t="s">
        <v>989</v>
      </c>
      <c r="C69" s="3680">
        <f>'CONT EXECUTIE  '!C297</f>
        <v>14664000</v>
      </c>
      <c r="D69" s="3680">
        <f>'CONT EXECUTIE  '!D297</f>
        <v>9583000</v>
      </c>
      <c r="E69" s="3637">
        <f>'CONT EXECUTIE  '!E297</f>
        <v>14664000</v>
      </c>
      <c r="F69" s="3637">
        <f>'CONT EXECUTIE  '!F297</f>
        <v>9583000</v>
      </c>
      <c r="G69" s="3637">
        <f>'CONT EXECUTIE  '!G297</f>
        <v>9580511</v>
      </c>
      <c r="H69" s="3637">
        <f>'CONT EXECUTIE  '!H297</f>
        <v>9580511</v>
      </c>
      <c r="I69" s="3637">
        <f>'CONT EXECUTIE  '!K297</f>
        <v>9580511</v>
      </c>
      <c r="J69" s="3637">
        <f>H69-I69</f>
        <v>0</v>
      </c>
      <c r="K69" s="3642">
        <f>'CONT EXECUTIE  '!M297</f>
        <v>9580511</v>
      </c>
      <c r="L69" s="266"/>
      <c r="M69" s="260"/>
      <c r="N69" s="260"/>
      <c r="O69" s="260"/>
      <c r="P69" s="260"/>
      <c r="Q69" s="260"/>
      <c r="R69" s="260"/>
      <c r="S69" s="260"/>
      <c r="T69" s="260"/>
      <c r="U69" s="260"/>
      <c r="V69" s="260"/>
      <c r="W69" s="260"/>
      <c r="X69" s="260"/>
    </row>
    <row r="70" spans="1:24" s="265" customFormat="1" ht="24">
      <c r="A70" s="3764" t="s">
        <v>990</v>
      </c>
      <c r="B70" s="3670" t="s">
        <v>873</v>
      </c>
      <c r="C70" s="3746"/>
      <c r="D70" s="3746"/>
      <c r="E70" s="3113"/>
      <c r="F70" s="3113"/>
      <c r="G70" s="3636"/>
      <c r="H70" s="3636"/>
      <c r="I70" s="3636"/>
      <c r="J70" s="3636"/>
      <c r="K70" s="3640"/>
      <c r="L70" s="266"/>
      <c r="M70" s="260"/>
      <c r="N70" s="260"/>
      <c r="O70" s="260"/>
      <c r="P70" s="260"/>
      <c r="Q70" s="260"/>
      <c r="R70" s="260"/>
      <c r="S70" s="260"/>
      <c r="T70" s="260"/>
      <c r="U70" s="260"/>
      <c r="V70" s="260"/>
      <c r="W70" s="260"/>
      <c r="X70" s="260"/>
    </row>
    <row r="71" spans="1:24" s="265" customFormat="1" ht="24">
      <c r="A71" s="3764" t="s">
        <v>2431</v>
      </c>
      <c r="B71" s="3670" t="s">
        <v>874</v>
      </c>
      <c r="C71" s="3746"/>
      <c r="D71" s="3746"/>
      <c r="E71" s="3637"/>
      <c r="F71" s="3637"/>
      <c r="G71" s="3637"/>
      <c r="H71" s="3637"/>
      <c r="I71" s="3637"/>
      <c r="J71" s="3637"/>
      <c r="K71" s="3642"/>
      <c r="L71" s="266"/>
      <c r="M71" s="260"/>
      <c r="N71" s="260"/>
      <c r="O71" s="260"/>
      <c r="P71" s="260"/>
      <c r="Q71" s="260"/>
      <c r="R71" s="260"/>
      <c r="S71" s="260"/>
      <c r="T71" s="260"/>
      <c r="U71" s="260"/>
      <c r="V71" s="260"/>
      <c r="W71" s="260"/>
      <c r="X71" s="260"/>
    </row>
    <row r="72" spans="1:24" s="265" customFormat="1" ht="15">
      <c r="A72" s="3705" t="s">
        <v>991</v>
      </c>
      <c r="B72" s="3750" t="s">
        <v>875</v>
      </c>
      <c r="C72" s="3751"/>
      <c r="D72" s="3751"/>
      <c r="E72" s="3637"/>
      <c r="F72" s="3637"/>
      <c r="G72" s="3637"/>
      <c r="H72" s="3637"/>
      <c r="I72" s="3637"/>
      <c r="J72" s="3637"/>
      <c r="K72" s="3642"/>
      <c r="L72" s="266"/>
      <c r="M72" s="260"/>
      <c r="N72" s="260"/>
      <c r="O72" s="260"/>
      <c r="P72" s="260"/>
      <c r="Q72" s="260"/>
      <c r="R72" s="260"/>
      <c r="S72" s="260"/>
      <c r="T72" s="260"/>
      <c r="U72" s="260"/>
      <c r="V72" s="260"/>
      <c r="W72" s="260"/>
      <c r="X72" s="260"/>
    </row>
    <row r="73" spans="1:24" s="265" customFormat="1" ht="15.75" customHeight="1">
      <c r="A73" s="3766" t="s">
        <v>992</v>
      </c>
      <c r="B73" s="3752" t="s">
        <v>993</v>
      </c>
      <c r="C73" s="3753"/>
      <c r="D73" s="3753"/>
      <c r="E73" s="3637"/>
      <c r="F73" s="3637"/>
      <c r="G73" s="3637"/>
      <c r="H73" s="3637"/>
      <c r="I73" s="3637"/>
      <c r="J73" s="3637"/>
      <c r="K73" s="3642"/>
      <c r="L73" s="266"/>
      <c r="M73" s="260"/>
      <c r="N73" s="260"/>
      <c r="O73" s="260"/>
      <c r="P73" s="260"/>
      <c r="Q73" s="260"/>
      <c r="R73" s="260"/>
      <c r="S73" s="260"/>
      <c r="T73" s="260"/>
      <c r="U73" s="260"/>
      <c r="V73" s="260"/>
      <c r="W73" s="260"/>
      <c r="X73" s="260"/>
    </row>
    <row r="74" spans="1:24" s="265" customFormat="1" ht="24">
      <c r="A74" s="3765" t="s">
        <v>876</v>
      </c>
      <c r="B74" s="3752" t="s">
        <v>877</v>
      </c>
      <c r="C74" s="3753"/>
      <c r="D74" s="3753"/>
      <c r="E74" s="3637"/>
      <c r="F74" s="3637"/>
      <c r="G74" s="3637"/>
      <c r="H74" s="3637"/>
      <c r="I74" s="3637"/>
      <c r="J74" s="3637"/>
      <c r="K74" s="3642"/>
      <c r="L74" s="266"/>
      <c r="M74" s="260"/>
      <c r="N74" s="260"/>
      <c r="O74" s="260"/>
      <c r="P74" s="260"/>
      <c r="Q74" s="260"/>
      <c r="R74" s="260"/>
      <c r="S74" s="260"/>
      <c r="T74" s="260"/>
      <c r="U74" s="260"/>
      <c r="V74" s="260"/>
      <c r="W74" s="260"/>
      <c r="X74" s="260"/>
    </row>
    <row r="75" spans="1:24" s="265" customFormat="1" ht="24">
      <c r="A75" s="3765" t="s">
        <v>994</v>
      </c>
      <c r="B75" s="3752" t="s">
        <v>995</v>
      </c>
      <c r="C75" s="3753"/>
      <c r="D75" s="3753"/>
      <c r="E75" s="3637"/>
      <c r="F75" s="3637"/>
      <c r="G75" s="3637"/>
      <c r="H75" s="3637"/>
      <c r="I75" s="3637"/>
      <c r="J75" s="3637"/>
      <c r="K75" s="3642"/>
      <c r="L75" s="266"/>
      <c r="M75" s="260"/>
      <c r="N75" s="260"/>
      <c r="O75" s="260"/>
      <c r="P75" s="260"/>
      <c r="Q75" s="260"/>
      <c r="R75" s="260"/>
      <c r="S75" s="260"/>
      <c r="T75" s="260"/>
      <c r="U75" s="260"/>
      <c r="V75" s="260"/>
      <c r="W75" s="260"/>
      <c r="X75" s="260"/>
    </row>
    <row r="76" spans="1:24" s="265" customFormat="1" ht="14.25">
      <c r="A76" s="3765" t="s">
        <v>996</v>
      </c>
      <c r="B76" s="3752" t="s">
        <v>997</v>
      </c>
      <c r="C76" s="3753"/>
      <c r="D76" s="3753"/>
      <c r="E76" s="3637"/>
      <c r="F76" s="3637"/>
      <c r="G76" s="3637"/>
      <c r="H76" s="3637"/>
      <c r="I76" s="3637"/>
      <c r="J76" s="3637"/>
      <c r="K76" s="3642"/>
      <c r="L76" s="266"/>
      <c r="M76" s="260"/>
      <c r="N76" s="260"/>
      <c r="O76" s="260"/>
      <c r="P76" s="260"/>
      <c r="Q76" s="260"/>
      <c r="R76" s="260"/>
      <c r="S76" s="260"/>
      <c r="T76" s="260"/>
      <c r="U76" s="260"/>
      <c r="V76" s="260"/>
      <c r="W76" s="260"/>
      <c r="X76" s="260"/>
    </row>
    <row r="77" spans="1:24" s="265" customFormat="1" ht="24">
      <c r="A77" s="3764" t="s">
        <v>998</v>
      </c>
      <c r="B77" s="3750" t="s">
        <v>999</v>
      </c>
      <c r="C77" s="3751"/>
      <c r="D77" s="3751"/>
      <c r="E77" s="3636"/>
      <c r="F77" s="3636"/>
      <c r="G77" s="3636"/>
      <c r="H77" s="3636"/>
      <c r="I77" s="3636"/>
      <c r="J77" s="3636"/>
      <c r="K77" s="3640"/>
      <c r="L77" s="266"/>
      <c r="M77" s="260"/>
      <c r="N77" s="260"/>
      <c r="O77" s="260"/>
      <c r="P77" s="260"/>
      <c r="Q77" s="260"/>
      <c r="R77" s="260"/>
      <c r="S77" s="260"/>
      <c r="T77" s="260"/>
      <c r="U77" s="260"/>
      <c r="V77" s="260"/>
      <c r="W77" s="260"/>
      <c r="X77" s="260"/>
    </row>
    <row r="78" spans="1:24" s="265" customFormat="1" ht="36">
      <c r="A78" s="3763" t="s">
        <v>1000</v>
      </c>
      <c r="B78" s="3670" t="s">
        <v>1001</v>
      </c>
      <c r="C78" s="3751">
        <f t="shared" ref="C78:K80" si="14">C79</f>
        <v>0</v>
      </c>
      <c r="D78" s="3751">
        <f t="shared" si="14"/>
        <v>0</v>
      </c>
      <c r="E78" s="3751">
        <f t="shared" si="14"/>
        <v>0</v>
      </c>
      <c r="F78" s="3751">
        <f t="shared" si="14"/>
        <v>0</v>
      </c>
      <c r="G78" s="3674">
        <f t="shared" si="14"/>
        <v>-40534</v>
      </c>
      <c r="H78" s="3674">
        <f t="shared" si="14"/>
        <v>-40534</v>
      </c>
      <c r="I78" s="3674">
        <f t="shared" si="14"/>
        <v>-40534</v>
      </c>
      <c r="J78" s="3751">
        <f t="shared" si="14"/>
        <v>0</v>
      </c>
      <c r="K78" s="3774">
        <f t="shared" si="14"/>
        <v>0</v>
      </c>
      <c r="L78" s="266"/>
      <c r="M78" s="260"/>
      <c r="N78" s="260"/>
      <c r="O78" s="260"/>
      <c r="P78" s="260"/>
      <c r="Q78" s="260"/>
      <c r="R78" s="260"/>
      <c r="S78" s="260"/>
      <c r="T78" s="260"/>
      <c r="U78" s="260"/>
      <c r="V78" s="260"/>
      <c r="W78" s="260"/>
      <c r="X78" s="260"/>
    </row>
    <row r="79" spans="1:24" s="265" customFormat="1" ht="36">
      <c r="A79" s="3764" t="s">
        <v>2424</v>
      </c>
      <c r="B79" s="3670" t="s">
        <v>1002</v>
      </c>
      <c r="C79" s="3754">
        <f t="shared" si="14"/>
        <v>0</v>
      </c>
      <c r="D79" s="3754">
        <f t="shared" si="14"/>
        <v>0</v>
      </c>
      <c r="E79" s="3754">
        <f t="shared" si="14"/>
        <v>0</v>
      </c>
      <c r="F79" s="3754">
        <f t="shared" si="14"/>
        <v>0</v>
      </c>
      <c r="G79" s="3754">
        <f t="shared" si="14"/>
        <v>-40534</v>
      </c>
      <c r="H79" s="3754">
        <f t="shared" si="14"/>
        <v>-40534</v>
      </c>
      <c r="I79" s="3754">
        <f t="shared" si="14"/>
        <v>-40534</v>
      </c>
      <c r="J79" s="3754">
        <f t="shared" si="14"/>
        <v>0</v>
      </c>
      <c r="K79" s="3775">
        <f t="shared" si="14"/>
        <v>0</v>
      </c>
      <c r="L79" s="266"/>
      <c r="M79" s="260"/>
      <c r="N79" s="260"/>
      <c r="O79" s="260"/>
      <c r="P79" s="260"/>
      <c r="Q79" s="260"/>
      <c r="R79" s="260"/>
      <c r="S79" s="260"/>
      <c r="T79" s="260"/>
      <c r="U79" s="260"/>
      <c r="V79" s="260"/>
      <c r="W79" s="260"/>
      <c r="X79" s="260"/>
    </row>
    <row r="80" spans="1:24" s="265" customFormat="1" ht="24">
      <c r="A80" s="3765" t="s">
        <v>1003</v>
      </c>
      <c r="B80" s="3668" t="s">
        <v>1004</v>
      </c>
      <c r="C80" s="3754">
        <f t="shared" si="14"/>
        <v>0</v>
      </c>
      <c r="D80" s="3754">
        <f t="shared" si="14"/>
        <v>0</v>
      </c>
      <c r="E80" s="3754">
        <f t="shared" si="14"/>
        <v>0</v>
      </c>
      <c r="F80" s="3754">
        <f t="shared" si="14"/>
        <v>0</v>
      </c>
      <c r="G80" s="3754">
        <f t="shared" si="14"/>
        <v>-40534</v>
      </c>
      <c r="H80" s="3754">
        <f t="shared" si="14"/>
        <v>-40534</v>
      </c>
      <c r="I80" s="3754">
        <f t="shared" si="14"/>
        <v>-40534</v>
      </c>
      <c r="J80" s="3754">
        <f t="shared" si="14"/>
        <v>0</v>
      </c>
      <c r="K80" s="3775">
        <f t="shared" si="14"/>
        <v>0</v>
      </c>
      <c r="L80" s="266"/>
      <c r="M80" s="260"/>
      <c r="N80" s="260"/>
      <c r="O80" s="260"/>
      <c r="P80" s="260"/>
      <c r="Q80" s="260"/>
      <c r="R80" s="260"/>
      <c r="S80" s="260"/>
      <c r="T80" s="260"/>
      <c r="U80" s="260"/>
      <c r="V80" s="260"/>
      <c r="W80" s="260"/>
      <c r="X80" s="260"/>
    </row>
    <row r="81" spans="1:24" s="265" customFormat="1" ht="24">
      <c r="A81" s="3765" t="s">
        <v>1003</v>
      </c>
      <c r="B81" s="3668" t="s">
        <v>1005</v>
      </c>
      <c r="C81" s="3755">
        <f>'CONT EXECUTIE  '!C304</f>
        <v>0</v>
      </c>
      <c r="D81" s="3755">
        <f>'CONT EXECUTIE  '!D304</f>
        <v>0</v>
      </c>
      <c r="E81" s="3755">
        <f>'CONT EXECUTIE  '!E304</f>
        <v>0</v>
      </c>
      <c r="F81" s="3755">
        <f>'CONT EXECUTIE  '!F304</f>
        <v>0</v>
      </c>
      <c r="G81" s="3755">
        <f>'CONT EXECUTIE  '!G304</f>
        <v>-40534</v>
      </c>
      <c r="H81" s="3756">
        <f>'CONT EXECUTIE  '!H304</f>
        <v>-40534</v>
      </c>
      <c r="I81" s="3756">
        <f>'CONT EXECUTIE  '!K304</f>
        <v>-40534</v>
      </c>
      <c r="J81" s="3756">
        <f>'CONT EXECUTIE  '!L304</f>
        <v>0</v>
      </c>
      <c r="K81" s="3776">
        <f>'CONT EXECUTIE  '!M304</f>
        <v>0</v>
      </c>
      <c r="L81" s="266"/>
      <c r="M81" s="260"/>
      <c r="N81" s="260"/>
      <c r="O81" s="260"/>
      <c r="P81" s="260"/>
      <c r="Q81" s="260"/>
      <c r="R81" s="260"/>
      <c r="S81" s="260"/>
      <c r="T81" s="260"/>
      <c r="U81" s="260"/>
      <c r="V81" s="260"/>
      <c r="W81" s="260"/>
      <c r="X81" s="260"/>
    </row>
    <row r="82" spans="1:24" s="265" customFormat="1" ht="24">
      <c r="A82" s="3763" t="s">
        <v>1006</v>
      </c>
      <c r="B82" s="3757">
        <v>90</v>
      </c>
      <c r="C82" s="3754"/>
      <c r="D82" s="3754"/>
      <c r="E82" s="3758">
        <f>E83</f>
        <v>0</v>
      </c>
      <c r="F82" s="3758">
        <f>F83</f>
        <v>0</v>
      </c>
      <c r="G82" s="3758"/>
      <c r="H82" s="3758"/>
      <c r="I82" s="3758">
        <f>I83</f>
        <v>0</v>
      </c>
      <c r="J82" s="3758"/>
      <c r="K82" s="3777"/>
      <c r="L82" s="266"/>
      <c r="M82" s="260"/>
      <c r="N82" s="260"/>
      <c r="O82" s="260"/>
      <c r="P82" s="260"/>
      <c r="Q82" s="260"/>
      <c r="R82" s="260"/>
      <c r="S82" s="260"/>
      <c r="T82" s="260"/>
      <c r="U82" s="260"/>
      <c r="V82" s="260"/>
      <c r="W82" s="260"/>
      <c r="X82" s="260"/>
    </row>
    <row r="83" spans="1:24" s="265" customFormat="1" ht="15">
      <c r="A83" s="3769" t="s">
        <v>1007</v>
      </c>
      <c r="B83" s="3757" t="s">
        <v>1008</v>
      </c>
      <c r="C83" s="3759"/>
      <c r="D83" s="3759"/>
      <c r="E83" s="3760"/>
      <c r="F83" s="3760"/>
      <c r="G83" s="3760"/>
      <c r="H83" s="3760"/>
      <c r="I83" s="3760"/>
      <c r="J83" s="3760"/>
      <c r="K83" s="3778"/>
      <c r="L83" s="266"/>
      <c r="M83" s="260"/>
      <c r="N83" s="260"/>
      <c r="O83" s="260"/>
      <c r="P83" s="260"/>
      <c r="Q83" s="260"/>
      <c r="R83" s="260"/>
      <c r="S83" s="260"/>
      <c r="T83" s="260"/>
      <c r="U83" s="260"/>
      <c r="V83" s="260"/>
      <c r="W83" s="260"/>
      <c r="X83" s="260"/>
    </row>
    <row r="84" spans="1:24" s="265" customFormat="1" ht="15">
      <c r="A84" s="3769" t="s">
        <v>1009</v>
      </c>
      <c r="B84" s="3757" t="s">
        <v>1010</v>
      </c>
      <c r="C84" s="3761"/>
      <c r="D84" s="3761"/>
      <c r="E84" s="3636">
        <f>IF(E87&gt;=0,E87,0)</f>
        <v>0</v>
      </c>
      <c r="F84" s="3636">
        <f>IF(F87&gt;=0,F87,0)</f>
        <v>0</v>
      </c>
      <c r="G84" s="3636"/>
      <c r="H84" s="3636"/>
      <c r="I84" s="3636">
        <f>IF(H87&gt;=0,H87,0)</f>
        <v>0</v>
      </c>
      <c r="J84" s="3637"/>
      <c r="K84" s="3642"/>
      <c r="L84" s="266"/>
      <c r="M84" s="260"/>
      <c r="N84" s="260"/>
      <c r="O84" s="260"/>
      <c r="P84" s="260"/>
      <c r="Q84" s="260"/>
      <c r="R84" s="260"/>
      <c r="S84" s="260"/>
      <c r="T84" s="260"/>
      <c r="U84" s="260"/>
      <c r="V84" s="260"/>
      <c r="W84" s="260"/>
      <c r="X84" s="260"/>
    </row>
    <row r="85" spans="1:24" s="265" customFormat="1" ht="15">
      <c r="A85" s="3779" t="s">
        <v>1011</v>
      </c>
      <c r="B85" s="3780" t="s">
        <v>1012</v>
      </c>
      <c r="C85" s="3781"/>
      <c r="D85" s="3781"/>
      <c r="E85" s="3782">
        <f>IF(E87&lt;=0,E87,0)</f>
        <v>-1889630</v>
      </c>
      <c r="F85" s="3782">
        <f>IF(F87&lt;=0,F87,0)</f>
        <v>-1482630</v>
      </c>
      <c r="G85" s="3782"/>
      <c r="H85" s="3782"/>
      <c r="I85" s="3783">
        <f>IF(H87&lt;=0,H87,0)</f>
        <v>-1188688</v>
      </c>
      <c r="J85" s="3784"/>
      <c r="K85" s="3785"/>
      <c r="L85" s="266"/>
      <c r="M85" s="260"/>
      <c r="N85" s="260"/>
      <c r="O85" s="260"/>
      <c r="P85" s="260"/>
      <c r="Q85" s="260"/>
      <c r="R85" s="260"/>
      <c r="S85" s="260"/>
      <c r="T85" s="260"/>
      <c r="U85" s="260"/>
      <c r="V85" s="260"/>
      <c r="W85" s="260"/>
      <c r="X85" s="260"/>
    </row>
    <row r="86" spans="1:24" s="265" customFormat="1">
      <c r="A86" s="280"/>
      <c r="B86" s="281"/>
      <c r="C86" s="282"/>
      <c r="D86" s="282"/>
      <c r="E86" s="280"/>
      <c r="F86" s="280"/>
      <c r="G86" s="280"/>
      <c r="H86" s="280"/>
      <c r="I86" s="280"/>
      <c r="J86" s="280"/>
      <c r="K86" s="280"/>
      <c r="L86" s="260"/>
      <c r="M86" s="260"/>
      <c r="N86" s="260"/>
      <c r="O86" s="260"/>
      <c r="P86" s="260"/>
      <c r="Q86" s="260"/>
      <c r="R86" s="260"/>
      <c r="S86" s="260"/>
      <c r="T86" s="260"/>
      <c r="U86" s="260"/>
      <c r="V86" s="260"/>
      <c r="W86" s="260"/>
      <c r="X86" s="260"/>
    </row>
    <row r="87" spans="1:24" s="265" customFormat="1">
      <c r="A87" s="280"/>
      <c r="B87" s="281"/>
      <c r="C87" s="282"/>
      <c r="D87" s="282"/>
      <c r="E87" s="283">
        <f>'ANEXA 5 '!C26+'ANEXA 5 '!C28+'ANEXA 5 '!C51+'ANEXA 5 '!C83+'ANEXA 5 '!C31-'ANEXA 6'!F31</f>
        <v>-1889630</v>
      </c>
      <c r="F87" s="283">
        <f>'ANEXA 5 '!D26+'ANEXA 5 '!D28+'ANEXA 5 '!D51+'ANEXA 5 '!D83+'ANEXA 5 '!D31-'ANEXA 6'!G31</f>
        <v>-1482630</v>
      </c>
      <c r="G87" s="284"/>
      <c r="H87" s="304">
        <f>+'ANEXA 5 '!H26+'ANEXA 5 '!H28+'ANEXA 5 '!H51+'ANEXA 5 '!H83+'ANEXA 5 '!H31-'ANEXA 6'!J31</f>
        <v>-1188688</v>
      </c>
      <c r="I87" s="304"/>
      <c r="J87" s="304"/>
      <c r="K87" s="304"/>
      <c r="L87" s="260"/>
      <c r="M87" s="260"/>
      <c r="N87" s="260"/>
      <c r="O87" s="260"/>
      <c r="P87" s="260"/>
      <c r="Q87" s="260"/>
      <c r="R87" s="260"/>
      <c r="S87" s="260"/>
      <c r="T87" s="260"/>
      <c r="U87" s="260"/>
      <c r="V87" s="260"/>
      <c r="W87" s="260"/>
      <c r="X87" s="260"/>
    </row>
    <row r="88" spans="1:24" s="265" customFormat="1" ht="15.75">
      <c r="A88" s="59"/>
      <c r="B88" s="59"/>
      <c r="C88" s="59"/>
      <c r="D88" s="59"/>
      <c r="E88" s="59"/>
      <c r="F88" s="59"/>
      <c r="G88" s="288"/>
      <c r="L88" s="260"/>
      <c r="M88" s="260"/>
      <c r="N88" s="260"/>
      <c r="O88" s="260"/>
      <c r="P88" s="260"/>
      <c r="Q88" s="260"/>
      <c r="R88" s="260"/>
      <c r="S88" s="260"/>
      <c r="T88" s="260"/>
      <c r="U88" s="260"/>
      <c r="V88" s="260"/>
      <c r="W88" s="260"/>
      <c r="X88" s="260"/>
    </row>
    <row r="89" spans="1:24" s="265" customFormat="1" ht="15.75" customHeight="1">
      <c r="A89" s="3984" t="str">
        <f>'ANEXA 1'!B94</f>
        <v>DIRECTOR  GENERAL,</v>
      </c>
      <c r="B89" s="3984"/>
      <c r="C89" s="3984"/>
      <c r="D89" s="1270"/>
      <c r="E89" s="151"/>
      <c r="F89" s="305"/>
      <c r="G89" s="3984" t="str">
        <f>'ANEXA 1'!D94</f>
        <v>DIRECTOR  EXECUTIV  ECONOMIC,</v>
      </c>
      <c r="H89" s="3984"/>
      <c r="I89" s="3984"/>
      <c r="J89" s="3984"/>
      <c r="L89" s="288"/>
      <c r="M89" s="260"/>
      <c r="N89" s="260"/>
      <c r="O89" s="260"/>
      <c r="P89" s="260"/>
      <c r="Q89" s="260"/>
      <c r="R89" s="260"/>
      <c r="S89" s="260"/>
      <c r="T89" s="260"/>
      <c r="U89" s="260"/>
      <c r="V89" s="260"/>
      <c r="W89" s="260"/>
      <c r="X89" s="260"/>
    </row>
    <row r="90" spans="1:24" ht="15">
      <c r="G90" s="17"/>
      <c r="H90" s="17"/>
      <c r="I90" s="17"/>
      <c r="J90" s="17"/>
    </row>
    <row r="91" spans="1:24" ht="15.75">
      <c r="A91" s="4160" t="str">
        <f>'ANEXA 1'!B96</f>
        <v>EC.ALBU DRINA</v>
      </c>
      <c r="B91" s="4160"/>
      <c r="C91" s="4160"/>
      <c r="D91" s="1277"/>
      <c r="G91" s="4160" t="str">
        <f>'ANEXA 1'!D96</f>
        <v>EC.BIRCU FLORINA</v>
      </c>
      <c r="H91" s="4160"/>
      <c r="I91" s="4160"/>
      <c r="J91" s="4160"/>
    </row>
    <row r="92" spans="1:24" ht="14.25">
      <c r="A92" s="4159">
        <f>'ANEXA 1'!B97</f>
        <v>0</v>
      </c>
      <c r="B92" s="4159"/>
      <c r="C92" s="4159"/>
      <c r="D92" s="1276"/>
    </row>
    <row r="94" spans="1:24" ht="15">
      <c r="A94" s="4149">
        <f>+'ANEXA 1'!B99</f>
        <v>0</v>
      </c>
      <c r="B94" s="4150"/>
      <c r="C94" s="4150"/>
      <c r="G94" s="4017">
        <f>'ANEXA 1'!D99</f>
        <v>0</v>
      </c>
      <c r="H94" s="4017"/>
      <c r="I94" s="4017"/>
      <c r="J94" s="4017"/>
    </row>
    <row r="95" spans="1:24" ht="15">
      <c r="A95" s="133"/>
      <c r="B95" s="725"/>
      <c r="C95" s="133"/>
      <c r="I95" s="1461"/>
      <c r="J95" s="1054"/>
    </row>
    <row r="96" spans="1:24" ht="15">
      <c r="A96" s="4150">
        <f>+'ANEXA 1'!B101</f>
        <v>0</v>
      </c>
      <c r="B96" s="4150"/>
      <c r="C96" s="4150"/>
      <c r="G96" s="4017">
        <f>'ANEXA 1'!D101</f>
        <v>0</v>
      </c>
      <c r="H96" s="4017"/>
      <c r="I96" s="4017"/>
      <c r="J96" s="4017"/>
    </row>
    <row r="97" spans="10:10">
      <c r="J97" s="1059"/>
    </row>
    <row r="102" spans="10:10" ht="13.5" customHeight="1"/>
    <row r="103" spans="10:10" ht="13.5" customHeight="1"/>
    <row r="109" spans="10:10" ht="15.75" customHeight="1"/>
  </sheetData>
  <sheetProtection password="CFDD" sheet="1" objects="1" scenarios="1"/>
  <mergeCells count="21">
    <mergeCell ref="A89:C89"/>
    <mergeCell ref="G89:J89"/>
    <mergeCell ref="A91:C91"/>
    <mergeCell ref="G91:J91"/>
    <mergeCell ref="C5:D5"/>
    <mergeCell ref="G94:J94"/>
    <mergeCell ref="G96:J96"/>
    <mergeCell ref="A94:C94"/>
    <mergeCell ref="A96:C96"/>
    <mergeCell ref="A1:G1"/>
    <mergeCell ref="A2:K2"/>
    <mergeCell ref="A3:K3"/>
    <mergeCell ref="A5:A6"/>
    <mergeCell ref="B5:B6"/>
    <mergeCell ref="E5:F5"/>
    <mergeCell ref="G5:G6"/>
    <mergeCell ref="H5:H6"/>
    <mergeCell ref="I5:I6"/>
    <mergeCell ref="J5:J6"/>
    <mergeCell ref="A92:C92"/>
    <mergeCell ref="K5:K6"/>
  </mergeCells>
  <phoneticPr fontId="0" type="noConversion"/>
  <dataValidations count="1">
    <dataValidation allowBlank="1" showErrorMessage="1" sqref="C8:K85"/>
  </dataValidations>
  <printOptions horizontalCentered="1"/>
  <pageMargins left="0.19685039370078741" right="0.19685039370078741" top="0.15748031496062992" bottom="0.27559055118110237" header="0.51181102362204722" footer="0.27559055118110237"/>
  <pageSetup paperSize="9" scale="80" firstPageNumber="0" orientation="landscape" r:id="rId1"/>
  <headerFooter alignWithMargins="0">
    <oddFooter>&amp;C&amp;A&amp;RPagina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4"/>
  <dimension ref="A1:I43"/>
  <sheetViews>
    <sheetView showZeros="0" workbookViewId="0">
      <selection activeCell="C36" sqref="C36"/>
    </sheetView>
  </sheetViews>
  <sheetFormatPr defaultColWidth="9.140625" defaultRowHeight="12.75" customHeight="1"/>
  <cols>
    <col min="1" max="1" width="69.28515625" style="48" customWidth="1"/>
    <col min="2" max="2" width="9.7109375" style="48" customWidth="1"/>
    <col min="3" max="3" width="25.7109375" style="48" customWidth="1"/>
    <col min="4" max="4" width="19.5703125" style="48" customWidth="1"/>
    <col min="5" max="5" width="20.42578125" style="48" customWidth="1"/>
    <col min="6" max="6" width="22.42578125" style="48" customWidth="1"/>
    <col min="7" max="7" width="9.140625" style="48"/>
    <col min="8" max="9" width="10.7109375" style="48" customWidth="1"/>
    <col min="10" max="16384" width="9.140625" style="48"/>
  </cols>
  <sheetData>
    <row r="1" spans="1:8" ht="15">
      <c r="A1" s="319" t="str">
        <f>'ANEXA 1'!A1:E1</f>
        <v>CASA  DE  ASIGURĂRI  DE  SĂNĂTATE MEHEDINTI</v>
      </c>
      <c r="B1" s="319"/>
      <c r="C1" s="319"/>
      <c r="D1" s="319"/>
      <c r="E1" s="319"/>
      <c r="F1" s="320" t="s">
        <v>1078</v>
      </c>
    </row>
    <row r="2" spans="1:8" s="56" customFormat="1" ht="19.5" customHeight="1">
      <c r="A2" s="4166" t="s">
        <v>1079</v>
      </c>
      <c r="B2" s="4166"/>
      <c r="C2" s="4166"/>
      <c r="D2" s="4166"/>
      <c r="E2" s="4166"/>
      <c r="F2" s="321"/>
    </row>
    <row r="3" spans="1:8" s="322" customFormat="1" ht="15">
      <c r="A3" s="322" t="s">
        <v>1080</v>
      </c>
      <c r="F3" s="323" t="s">
        <v>271</v>
      </c>
    </row>
    <row r="4" spans="1:8" s="322" customFormat="1" ht="12.75" customHeight="1" thickBot="1">
      <c r="A4" s="4167" t="s">
        <v>1081</v>
      </c>
      <c r="B4" s="4170" t="s">
        <v>89</v>
      </c>
      <c r="C4" s="4170" t="s">
        <v>1082</v>
      </c>
      <c r="D4" s="4170" t="s">
        <v>1083</v>
      </c>
      <c r="E4" s="4170" t="s">
        <v>1084</v>
      </c>
      <c r="F4" s="4161" t="s">
        <v>1085</v>
      </c>
    </row>
    <row r="5" spans="1:8" s="322" customFormat="1" ht="12.75" customHeight="1" thickBot="1">
      <c r="A5" s="4168"/>
      <c r="B5" s="4171"/>
      <c r="C5" s="4171"/>
      <c r="D5" s="4171"/>
      <c r="E5" s="4171"/>
      <c r="F5" s="4162"/>
    </row>
    <row r="6" spans="1:8" s="322" customFormat="1" ht="15.75" customHeight="1">
      <c r="A6" s="4169"/>
      <c r="B6" s="4172"/>
      <c r="C6" s="4172"/>
      <c r="D6" s="4172"/>
      <c r="E6" s="4172"/>
      <c r="F6" s="4163"/>
    </row>
    <row r="7" spans="1:8" s="322" customFormat="1" ht="10.9" customHeight="1">
      <c r="A7" s="2098" t="s">
        <v>92</v>
      </c>
      <c r="B7" s="2099" t="s">
        <v>93</v>
      </c>
      <c r="C7" s="2100">
        <v>1</v>
      </c>
      <c r="D7" s="2100">
        <v>2</v>
      </c>
      <c r="E7" s="2100">
        <v>3</v>
      </c>
      <c r="F7" s="2101">
        <v>4</v>
      </c>
    </row>
    <row r="8" spans="1:8" s="322" customFormat="1" ht="30">
      <c r="A8" s="2102" t="s">
        <v>2400</v>
      </c>
      <c r="B8" s="2103" t="s">
        <v>96</v>
      </c>
      <c r="C8" s="2104"/>
      <c r="D8" s="2105"/>
      <c r="E8" s="2105"/>
      <c r="F8" s="2106">
        <f t="shared" ref="F8:F31" si="0">ROUND(C8+D8-E8,1)</f>
        <v>0</v>
      </c>
    </row>
    <row r="9" spans="1:8" s="322" customFormat="1" ht="15.75">
      <c r="A9" s="2107" t="s">
        <v>1086</v>
      </c>
      <c r="B9" s="2108" t="s">
        <v>98</v>
      </c>
      <c r="C9" s="2109"/>
      <c r="D9" s="2110"/>
      <c r="E9" s="2110"/>
      <c r="F9" s="2111">
        <f t="shared" si="0"/>
        <v>0</v>
      </c>
      <c r="H9" s="1087" t="str">
        <f>IF('SOLDURI BILANT'!F7&lt;&gt;F9,"EROARE"," ")</f>
        <v>EROARE</v>
      </c>
    </row>
    <row r="10" spans="1:8" s="322" customFormat="1" ht="15.75">
      <c r="A10" s="2107" t="s">
        <v>1087</v>
      </c>
      <c r="B10" s="2108" t="s">
        <v>100</v>
      </c>
      <c r="C10" s="2109"/>
      <c r="D10" s="2110"/>
      <c r="E10" s="2110"/>
      <c r="F10" s="2111">
        <f>ROUND(C10+D10-E10,1)</f>
        <v>0</v>
      </c>
      <c r="H10" s="1087" t="str">
        <f>IF('SOLDURI BILANT'!F8&lt;&gt;F10,"EROARE"," ")</f>
        <v xml:space="preserve"> </v>
      </c>
    </row>
    <row r="11" spans="1:8" s="324" customFormat="1" ht="30">
      <c r="A11" s="2107" t="s">
        <v>2389</v>
      </c>
      <c r="B11" s="2112" t="s">
        <v>1088</v>
      </c>
      <c r="C11" s="2113"/>
      <c r="D11" s="2114"/>
      <c r="E11" s="2114"/>
      <c r="F11" s="2111">
        <f t="shared" si="0"/>
        <v>0</v>
      </c>
      <c r="H11" s="1088"/>
    </row>
    <row r="12" spans="1:8" s="324" customFormat="1" ht="24">
      <c r="A12" s="2115" t="s">
        <v>1089</v>
      </c>
      <c r="B12" s="2112" t="s">
        <v>1090</v>
      </c>
      <c r="C12" s="2116"/>
      <c r="D12" s="2114"/>
      <c r="E12" s="2114"/>
      <c r="F12" s="2111">
        <f t="shared" si="0"/>
        <v>0</v>
      </c>
    </row>
    <row r="13" spans="1:8" s="322" customFormat="1" ht="30">
      <c r="A13" s="2107" t="s">
        <v>1091</v>
      </c>
      <c r="B13" s="2108" t="s">
        <v>102</v>
      </c>
      <c r="C13" s="2109"/>
      <c r="D13" s="2110"/>
      <c r="E13" s="2110"/>
      <c r="F13" s="2111">
        <f t="shared" si="0"/>
        <v>0</v>
      </c>
      <c r="H13" s="1087" t="str">
        <f>IF('SOLDURI BILANT'!F9&lt;&gt;F13,"EROARE"," ")</f>
        <v xml:space="preserve"> </v>
      </c>
    </row>
    <row r="14" spans="1:8" s="322" customFormat="1" ht="30">
      <c r="A14" s="2107" t="s">
        <v>1092</v>
      </c>
      <c r="B14" s="2108" t="s">
        <v>104</v>
      </c>
      <c r="C14" s="2113"/>
      <c r="D14" s="2114"/>
      <c r="E14" s="2114"/>
      <c r="F14" s="2111">
        <f t="shared" si="0"/>
        <v>0</v>
      </c>
      <c r="G14" s="325">
        <f>F8+F9+F10+F13+F14</f>
        <v>0</v>
      </c>
      <c r="H14" s="1088"/>
    </row>
    <row r="15" spans="1:8" s="322" customFormat="1" ht="30">
      <c r="A15" s="2107" t="s">
        <v>1093</v>
      </c>
      <c r="B15" s="2112" t="s">
        <v>1094</v>
      </c>
      <c r="C15" s="2113"/>
      <c r="D15" s="2114"/>
      <c r="E15" s="2114"/>
      <c r="F15" s="2111">
        <f t="shared" si="0"/>
        <v>0</v>
      </c>
      <c r="G15" s="329"/>
    </row>
    <row r="16" spans="1:8" s="322" customFormat="1" ht="39.75" customHeight="1">
      <c r="A16" s="2115" t="s">
        <v>1095</v>
      </c>
      <c r="B16" s="2112" t="s">
        <v>1096</v>
      </c>
      <c r="C16" s="2113"/>
      <c r="D16" s="2114"/>
      <c r="E16" s="2114"/>
      <c r="F16" s="2111">
        <f t="shared" si="0"/>
        <v>0</v>
      </c>
      <c r="G16" s="329"/>
    </row>
    <row r="17" spans="1:9" s="322" customFormat="1" ht="15.75">
      <c r="A17" s="2117" t="s">
        <v>1097</v>
      </c>
      <c r="B17" s="2108" t="s">
        <v>107</v>
      </c>
      <c r="C17" s="2109"/>
      <c r="D17" s="2110"/>
      <c r="E17" s="2110"/>
      <c r="F17" s="2111">
        <f t="shared" si="0"/>
        <v>0</v>
      </c>
      <c r="H17" s="1087" t="str">
        <f>IF('SOLDURI BILANT'!F10+'SOLDURI BILANT'!F11+'SOLDURI BILANT'!F12+'SOLDURI BILANT'!F13+'SOLDURI BILANT'!F14&lt;&gt;F17,"EROARE"," ")</f>
        <v>EROARE</v>
      </c>
    </row>
    <row r="18" spans="1:9" s="322" customFormat="1" ht="30">
      <c r="A18" s="2118" t="s">
        <v>1098</v>
      </c>
      <c r="B18" s="2108" t="s">
        <v>110</v>
      </c>
      <c r="C18" s="2113"/>
      <c r="D18" s="2114"/>
      <c r="E18" s="2114"/>
      <c r="F18" s="2111">
        <f t="shared" si="0"/>
        <v>0</v>
      </c>
    </row>
    <row r="19" spans="1:9" s="322" customFormat="1" ht="15.75">
      <c r="A19" s="2117" t="s">
        <v>2395</v>
      </c>
      <c r="B19" s="2108" t="s">
        <v>112</v>
      </c>
      <c r="C19" s="2119"/>
      <c r="D19" s="2120"/>
      <c r="E19" s="2120"/>
      <c r="F19" s="2121"/>
    </row>
    <row r="20" spans="1:9" s="322" customFormat="1" ht="15.75">
      <c r="A20" s="2122" t="s">
        <v>1099</v>
      </c>
      <c r="B20" s="2108" t="s">
        <v>114</v>
      </c>
      <c r="C20" s="2113"/>
      <c r="D20" s="2114"/>
      <c r="E20" s="2114"/>
      <c r="F20" s="2111">
        <f t="shared" si="0"/>
        <v>0</v>
      </c>
    </row>
    <row r="21" spans="1:9" s="322" customFormat="1" ht="15.75">
      <c r="A21" s="2123" t="s">
        <v>1100</v>
      </c>
      <c r="B21" s="2108" t="s">
        <v>345</v>
      </c>
      <c r="C21" s="2109"/>
      <c r="D21" s="2110"/>
      <c r="E21" s="2110"/>
      <c r="F21" s="2111">
        <f t="shared" si="0"/>
        <v>0</v>
      </c>
    </row>
    <row r="22" spans="1:9" s="322" customFormat="1" ht="30">
      <c r="A22" s="2107" t="s">
        <v>2396</v>
      </c>
      <c r="B22" s="2108" t="s">
        <v>33</v>
      </c>
      <c r="C22" s="2119"/>
      <c r="D22" s="2120"/>
      <c r="E22" s="2120"/>
      <c r="F22" s="2121"/>
    </row>
    <row r="23" spans="1:9" s="322" customFormat="1" ht="15.75">
      <c r="A23" s="2117" t="s">
        <v>2397</v>
      </c>
      <c r="B23" s="2108" t="s">
        <v>434</v>
      </c>
      <c r="C23" s="2119"/>
      <c r="D23" s="2120"/>
      <c r="E23" s="2120"/>
      <c r="F23" s="2121"/>
    </row>
    <row r="24" spans="1:9" s="322" customFormat="1" ht="15.75">
      <c r="A24" s="2124" t="s">
        <v>2398</v>
      </c>
      <c r="B24" s="2108" t="s">
        <v>436</v>
      </c>
      <c r="C24" s="2119"/>
      <c r="D24" s="2120"/>
      <c r="E24" s="2120"/>
      <c r="F24" s="2121"/>
    </row>
    <row r="25" spans="1:9" s="322" customFormat="1" ht="15.75">
      <c r="A25" s="2117" t="s">
        <v>2399</v>
      </c>
      <c r="B25" s="2108" t="s">
        <v>438</v>
      </c>
      <c r="C25" s="2119"/>
      <c r="D25" s="2120"/>
      <c r="E25" s="2120"/>
      <c r="F25" s="2121"/>
    </row>
    <row r="26" spans="1:9" s="322" customFormat="1" ht="15.75">
      <c r="A26" s="2117" t="s">
        <v>1101</v>
      </c>
      <c r="B26" s="2108" t="s">
        <v>440</v>
      </c>
      <c r="C26" s="2119"/>
      <c r="D26" s="2120"/>
      <c r="E26" s="2120"/>
      <c r="F26" s="2121"/>
    </row>
    <row r="27" spans="1:9" s="322" customFormat="1" ht="15.75">
      <c r="A27" s="2117" t="s">
        <v>1102</v>
      </c>
      <c r="B27" s="2108" t="s">
        <v>442</v>
      </c>
      <c r="C27" s="2119"/>
      <c r="D27" s="2120"/>
      <c r="E27" s="2120"/>
      <c r="F27" s="2121"/>
    </row>
    <row r="28" spans="1:9" s="322" customFormat="1" ht="15.75">
      <c r="A28" s="2117" t="s">
        <v>1103</v>
      </c>
      <c r="B28" s="2108" t="s">
        <v>444</v>
      </c>
      <c r="C28" s="2109"/>
      <c r="D28" s="2110">
        <f>2361417719-2361417719</f>
        <v>0</v>
      </c>
      <c r="E28" s="2110">
        <f>3270828262-3270828262</f>
        <v>0</v>
      </c>
      <c r="F28" s="2111">
        <f t="shared" si="0"/>
        <v>0</v>
      </c>
      <c r="G28" s="326" t="str">
        <f>IF(F28&lt;0," eroare "," ")</f>
        <v xml:space="preserve"> </v>
      </c>
      <c r="H28" s="326" t="str">
        <f>IF(F28&lt;&gt;'ANEXA 1'!E85," eroare "," ")</f>
        <v xml:space="preserve"> </v>
      </c>
      <c r="I28" s="1088"/>
    </row>
    <row r="29" spans="1:9" s="322" customFormat="1" ht="15.75">
      <c r="A29" s="2117" t="s">
        <v>1104</v>
      </c>
      <c r="B29" s="2108" t="s">
        <v>446</v>
      </c>
      <c r="C29" s="2109"/>
      <c r="D29" s="2110"/>
      <c r="E29" s="2110"/>
      <c r="F29" s="2111">
        <f t="shared" si="0"/>
        <v>0</v>
      </c>
      <c r="G29" s="326" t="str">
        <f>IF(F29&lt;0," eroare "," ")</f>
        <v xml:space="preserve"> </v>
      </c>
      <c r="H29" s="326" t="str">
        <f>IF(F29&lt;&gt;'ANEXA 1'!E86," eroare "," ")</f>
        <v xml:space="preserve"> eroare </v>
      </c>
      <c r="I29" s="1088"/>
    </row>
    <row r="30" spans="1:9" s="322" customFormat="1" ht="24.75" customHeight="1">
      <c r="A30" s="2125" t="s">
        <v>1105</v>
      </c>
      <c r="B30" s="2108" t="s">
        <v>1106</v>
      </c>
      <c r="C30" s="2109"/>
      <c r="D30" s="1708"/>
      <c r="E30" s="1708"/>
      <c r="F30" s="2111">
        <f t="shared" si="0"/>
        <v>0</v>
      </c>
      <c r="G30" s="326" t="str">
        <f>IF(F30&lt;0," eroare "," ")</f>
        <v xml:space="preserve"> </v>
      </c>
      <c r="H30" s="326" t="str">
        <f>IF(F30&lt;&gt;'ANEXA 1'!E87," eroare "," ")</f>
        <v xml:space="preserve"> </v>
      </c>
      <c r="I30" s="1088"/>
    </row>
    <row r="31" spans="1:9" s="322" customFormat="1" ht="15.75">
      <c r="A31" s="2117" t="s">
        <v>1107</v>
      </c>
      <c r="B31" s="2108" t="s">
        <v>713</v>
      </c>
      <c r="C31" s="2109"/>
      <c r="D31" s="1708"/>
      <c r="E31" s="1708"/>
      <c r="F31" s="2111">
        <f t="shared" si="0"/>
        <v>0</v>
      </c>
      <c r="G31" s="326" t="str">
        <f>IF(F31&lt;0," eroare "," ")</f>
        <v xml:space="preserve"> </v>
      </c>
      <c r="H31" s="326" t="str">
        <f>IF(F31&lt;&gt;'ANEXA 1'!E88," eroare "," ")</f>
        <v xml:space="preserve"> eroare </v>
      </c>
      <c r="I31" s="1088"/>
    </row>
    <row r="32" spans="1:9" s="322" customFormat="1" ht="18">
      <c r="A32" s="2126" t="s">
        <v>1108</v>
      </c>
      <c r="B32" s="2127">
        <v>21</v>
      </c>
      <c r="C32" s="2128">
        <f>ROUND(SUM(C8:C28)-C29+C30-C31,1)</f>
        <v>0</v>
      </c>
      <c r="D32" s="2129"/>
      <c r="E32" s="2129"/>
      <c r="F32" s="2130">
        <f>ROUND(SUM(F8:F28)-F29+F30-F31,1)</f>
        <v>0</v>
      </c>
    </row>
    <row r="33" spans="1:7" s="322" customFormat="1" ht="15.75">
      <c r="C33" s="327">
        <f>SUM(C8:C27)</f>
        <v>0</v>
      </c>
      <c r="D33" s="328"/>
      <c r="E33" s="328"/>
      <c r="F33" s="329">
        <f>SUM(F8:F27)</f>
        <v>0</v>
      </c>
    </row>
    <row r="34" spans="1:7" s="322" customFormat="1" ht="15.75">
      <c r="A34" s="37"/>
      <c r="C34" s="330" t="str">
        <f>IF('ANEXA 1'!D84&lt;&gt;C33," eroare "," ")</f>
        <v xml:space="preserve"> eroare </v>
      </c>
      <c r="D34" s="330" t="str">
        <f>IF(D28+D29=0," eroare "," ")</f>
        <v xml:space="preserve"> eroare </v>
      </c>
      <c r="E34" s="330" t="str">
        <f>IF(E28+E29=0," eroare "," ")</f>
        <v xml:space="preserve"> eroare </v>
      </c>
      <c r="F34" s="330" t="str">
        <f>IF('ANEXA 1'!E84&lt;&gt;F33," eroare "," ")</f>
        <v xml:space="preserve"> eroare </v>
      </c>
    </row>
    <row r="35" spans="1:7" s="322" customFormat="1" ht="15.75">
      <c r="A35" s="91"/>
      <c r="C35" s="330" t="str">
        <f>IF('ANEXA 1'!D85&lt;&gt;C28," eroare "," ")</f>
        <v xml:space="preserve"> </v>
      </c>
      <c r="D35" s="330" t="str">
        <f>IF(D30+D31=0," eroare "," ")</f>
        <v xml:space="preserve"> eroare </v>
      </c>
      <c r="E35" s="330" t="str">
        <f>IF(E30+E31=0," eroare "," ")</f>
        <v xml:space="preserve"> eroare </v>
      </c>
      <c r="F35" s="330" t="str">
        <f>IF('ANEXA 1'!E85&lt;&gt;F28," eroare "," ")</f>
        <v xml:space="preserve"> </v>
      </c>
    </row>
    <row r="36" spans="1:7" s="322" customFormat="1" ht="15.75" customHeight="1">
      <c r="A36" s="311" t="str">
        <f>+'ANEXA 1'!B94</f>
        <v>DIRECTOR  GENERAL,</v>
      </c>
      <c r="C36" s="330" t="str">
        <f>IF('ANEXA 1'!D86&lt;&gt;C29," eroare "," ")</f>
        <v xml:space="preserve"> eroare </v>
      </c>
      <c r="D36" s="4164" t="str">
        <f>+'ANEXA 1'!D94</f>
        <v>DIRECTOR  EXECUTIV  ECONOMIC,</v>
      </c>
      <c r="E36" s="4164"/>
      <c r="F36" s="330" t="str">
        <f>IF('ANEXA 1'!E86&lt;&gt;F29," eroare "," ")</f>
        <v xml:space="preserve"> eroare </v>
      </c>
    </row>
    <row r="37" spans="1:7" ht="15.75">
      <c r="C37" s="330" t="str">
        <f>IF('ANEXA 1'!D87&lt;&gt;C30," eroare "," ")</f>
        <v xml:space="preserve"> </v>
      </c>
      <c r="D37" s="1601"/>
      <c r="E37" s="57"/>
      <c r="F37" s="330" t="str">
        <f>IF('ANEXA 1'!E87&lt;&gt;F30," eroare "," ")</f>
        <v xml:space="preserve"> </v>
      </c>
    </row>
    <row r="38" spans="1:7" ht="15.75" customHeight="1">
      <c r="A38" s="37" t="str">
        <f>+'ANEXA 1'!B96</f>
        <v>EC.ALBU DRINA</v>
      </c>
      <c r="C38" s="2057" t="str">
        <f>IF('ANEXA 1'!D88&lt;&gt;C31," eroare "," ")</f>
        <v xml:space="preserve"> eroare </v>
      </c>
      <c r="D38" s="4164" t="str">
        <f>+'ANEXA 1'!D96</f>
        <v>EC.BIRCU FLORINA</v>
      </c>
      <c r="E38" s="4164"/>
      <c r="F38" s="330" t="str">
        <f>IF('ANEXA 1'!E88&lt;&gt;F31," eroare "," ")</f>
        <v xml:space="preserve"> eroare </v>
      </c>
    </row>
    <row r="39" spans="1:7" ht="15.75">
      <c r="A39" s="1925"/>
      <c r="C39" s="330" t="str">
        <f>IF('ANEXA 1'!D89&lt;&gt;C32," eroare "," ")</f>
        <v xml:space="preserve"> eroare </v>
      </c>
      <c r="D39" s="331"/>
      <c r="E39" s="331"/>
      <c r="F39" s="330" t="str">
        <f>IF('ANEXA 1'!E89&lt;&gt;F32," eroare "," ")</f>
        <v xml:space="preserve"> eroare </v>
      </c>
    </row>
    <row r="40" spans="1:7" ht="15.75">
      <c r="C40" s="333"/>
      <c r="D40" s="147"/>
      <c r="E40" s="318"/>
      <c r="F40" s="56"/>
    </row>
    <row r="41" spans="1:7" ht="18.75" customHeight="1">
      <c r="A41" s="1594">
        <f>+'ANEXA 1'!B99</f>
        <v>0</v>
      </c>
      <c r="D41" s="4165">
        <f>'ANEXA 1'!D99</f>
        <v>0</v>
      </c>
      <c r="E41" s="4165"/>
      <c r="G41" s="334"/>
    </row>
    <row r="42" spans="1:7" ht="16.5" customHeight="1">
      <c r="A42" s="1569"/>
      <c r="C42" s="316"/>
      <c r="D42" s="1600"/>
      <c r="E42" s="331"/>
      <c r="G42" s="335"/>
    </row>
    <row r="43" spans="1:7" ht="12.75" customHeight="1">
      <c r="A43" s="1569">
        <f>+'ANEXA 1'!B101</f>
        <v>0</v>
      </c>
      <c r="D43" s="4017">
        <f>'ANEXA 1'!D101</f>
        <v>0</v>
      </c>
      <c r="E43" s="4017"/>
    </row>
  </sheetData>
  <sheetProtection password="CFDD" sheet="1" objects="1" scenarios="1"/>
  <mergeCells count="11">
    <mergeCell ref="A2:E2"/>
    <mergeCell ref="A4:A6"/>
    <mergeCell ref="B4:B6"/>
    <mergeCell ref="C4:C6"/>
    <mergeCell ref="D4:D6"/>
    <mergeCell ref="E4:E6"/>
    <mergeCell ref="F4:F6"/>
    <mergeCell ref="D36:E36"/>
    <mergeCell ref="D38:E38"/>
    <mergeCell ref="D43:E43"/>
    <mergeCell ref="D41:E41"/>
  </mergeCells>
  <phoneticPr fontId="0" type="noConversion"/>
  <dataValidations count="2">
    <dataValidation type="whole" allowBlank="1" showErrorMessage="1" sqref="C8:E20">
      <formula1>-9.99999999999999E+26</formula1>
      <formula2>9.99999999999999E+26</formula2>
    </dataValidation>
    <dataValidation type="whole" allowBlank="1" showErrorMessage="1" sqref="C22:E31">
      <formula1>-9.99999999999999E+26</formula1>
      <formula2>9.99999999999999E+28</formula2>
    </dataValidation>
  </dataValidations>
  <printOptions horizontalCentered="1"/>
  <pageMargins left="0.27559055118110237" right="0.19685039370078741" top="0.23622047244094491" bottom="0.15748031496062992" header="0.51181102362204722" footer="0.15748031496062992"/>
  <pageSetup scale="73" firstPageNumber="0" orientation="landscape" horizontalDpi="300" verticalDpi="300" r:id="rId1"/>
  <headerFooter alignWithMargins="0">
    <oddFooter>&amp;C&amp;A&amp;RPagina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5"/>
  <dimension ref="A1:M67"/>
  <sheetViews>
    <sheetView showZeros="0" topLeftCell="B1" workbookViewId="0">
      <selection activeCell="J42" sqref="J42"/>
    </sheetView>
  </sheetViews>
  <sheetFormatPr defaultColWidth="9.140625" defaultRowHeight="12.75"/>
  <cols>
    <col min="1" max="1" width="53.5703125" style="336" customWidth="1"/>
    <col min="2" max="2" width="10.28515625" style="336" customWidth="1"/>
    <col min="3" max="3" width="15.85546875" style="336" customWidth="1"/>
    <col min="4" max="4" width="10.28515625" style="336" customWidth="1"/>
    <col min="5" max="6" width="18.140625" style="336" customWidth="1"/>
    <col min="7" max="7" width="17.28515625" style="336" customWidth="1"/>
    <col min="8" max="8" width="20" style="336" customWidth="1"/>
    <col min="9" max="9" width="17.5703125" style="336" customWidth="1"/>
    <col min="10" max="10" width="19.7109375" style="336" customWidth="1"/>
    <col min="11" max="11" width="21" style="336" customWidth="1"/>
    <col min="12" max="12" width="13.28515625" style="336" customWidth="1"/>
    <col min="13" max="16384" width="9.140625" style="336"/>
  </cols>
  <sheetData>
    <row r="1" spans="1:12" ht="15">
      <c r="A1" s="337" t="str">
        <f>'ANEXA 1'!A1:E1</f>
        <v>CASA  DE  ASIGURĂRI  DE  SĂNĂTATE MEHEDINTI</v>
      </c>
      <c r="B1" s="337"/>
      <c r="C1" s="337"/>
      <c r="D1" s="337"/>
      <c r="E1" s="337"/>
    </row>
    <row r="2" spans="1:12" ht="18">
      <c r="A2" s="338"/>
      <c r="B2" s="339"/>
      <c r="C2" s="339"/>
      <c r="D2" s="339"/>
      <c r="E2" s="339"/>
      <c r="F2" s="339"/>
      <c r="G2" s="339"/>
      <c r="H2" s="339"/>
      <c r="I2" s="339"/>
      <c r="J2" s="340" t="s">
        <v>1110</v>
      </c>
      <c r="K2" s="339"/>
    </row>
    <row r="3" spans="1:12" ht="15">
      <c r="A3" s="341"/>
      <c r="B3" s="339"/>
      <c r="C3" s="339"/>
      <c r="D3" s="339"/>
      <c r="E3" s="339"/>
      <c r="F3" s="339"/>
      <c r="G3" s="339"/>
      <c r="H3" s="339"/>
      <c r="I3" s="339"/>
      <c r="J3" s="339"/>
      <c r="K3" s="339"/>
      <c r="L3" s="339"/>
    </row>
    <row r="4" spans="1:12" ht="15">
      <c r="A4" s="341"/>
      <c r="B4" s="339"/>
      <c r="C4" s="339"/>
      <c r="D4" s="339"/>
      <c r="E4" s="339"/>
      <c r="F4" s="339"/>
      <c r="G4" s="339"/>
      <c r="H4" s="339"/>
      <c r="I4" s="339"/>
      <c r="J4" s="339"/>
      <c r="K4" s="339"/>
      <c r="L4" s="339"/>
    </row>
    <row r="5" spans="1:12" ht="15">
      <c r="A5" s="341"/>
      <c r="B5" s="339"/>
      <c r="C5" s="339"/>
      <c r="D5" s="339"/>
      <c r="E5" s="339"/>
      <c r="F5" s="339"/>
      <c r="G5" s="339"/>
      <c r="H5" s="339"/>
      <c r="I5" s="339"/>
      <c r="J5" s="339"/>
      <c r="K5" s="339"/>
      <c r="L5" s="339"/>
    </row>
    <row r="6" spans="1:12" ht="15.75">
      <c r="A6" s="4180" t="s">
        <v>1111</v>
      </c>
      <c r="B6" s="4180"/>
      <c r="C6" s="4180"/>
      <c r="D6" s="4180"/>
      <c r="E6" s="4180"/>
      <c r="F6" s="4180"/>
      <c r="G6" s="4180"/>
      <c r="H6" s="4180"/>
      <c r="I6" s="4180"/>
      <c r="J6" s="4180"/>
      <c r="K6" s="4180"/>
      <c r="L6" s="342"/>
    </row>
    <row r="7" spans="1:12" ht="15.75">
      <c r="A7" s="4180" t="str">
        <f>'ANEXA 1'!A12:E12</f>
        <v>la  data  de  30  IUNIE  2023</v>
      </c>
      <c r="B7" s="4180"/>
      <c r="C7" s="4180"/>
      <c r="D7" s="4180"/>
      <c r="E7" s="4180"/>
      <c r="F7" s="4180"/>
      <c r="G7" s="4180"/>
      <c r="H7" s="4180"/>
      <c r="I7" s="4180"/>
      <c r="J7" s="4180"/>
      <c r="K7" s="4180"/>
      <c r="L7" s="342"/>
    </row>
    <row r="8" spans="1:12" ht="18">
      <c r="B8" s="339"/>
      <c r="C8" s="339"/>
      <c r="D8" s="340"/>
      <c r="E8" s="340"/>
      <c r="F8" s="340"/>
      <c r="G8" s="340"/>
      <c r="H8" s="339"/>
      <c r="I8" s="343"/>
      <c r="J8" s="339"/>
      <c r="L8" s="343"/>
    </row>
    <row r="9" spans="1:12" ht="15">
      <c r="A9" s="344" t="s">
        <v>1112</v>
      </c>
      <c r="B9" s="344"/>
      <c r="C9" s="344"/>
      <c r="D9" s="344"/>
      <c r="E9" s="344"/>
      <c r="F9" s="344"/>
      <c r="G9" s="344"/>
      <c r="H9" s="344"/>
      <c r="I9" s="345"/>
      <c r="J9" s="344"/>
      <c r="K9" s="346" t="s">
        <v>1031</v>
      </c>
      <c r="L9" s="345"/>
    </row>
    <row r="10" spans="1:12" ht="15" customHeight="1">
      <c r="A10" s="4181" t="s">
        <v>1113</v>
      </c>
      <c r="B10" s="4184" t="s">
        <v>1114</v>
      </c>
      <c r="C10" s="4185" t="s">
        <v>2412</v>
      </c>
      <c r="D10" s="4185"/>
      <c r="E10" s="4184" t="s">
        <v>1115</v>
      </c>
      <c r="F10" s="4187" t="s">
        <v>1083</v>
      </c>
      <c r="G10" s="4187"/>
      <c r="H10" s="4187"/>
      <c r="I10" s="4187"/>
      <c r="J10" s="4187"/>
      <c r="K10" s="4188"/>
      <c r="L10" s="345"/>
    </row>
    <row r="11" spans="1:12" ht="15" customHeight="1">
      <c r="A11" s="4182"/>
      <c r="B11" s="4178"/>
      <c r="C11" s="4186"/>
      <c r="D11" s="4186"/>
      <c r="E11" s="4178"/>
      <c r="F11" s="4189" t="s">
        <v>259</v>
      </c>
      <c r="G11" s="4186" t="s">
        <v>1116</v>
      </c>
      <c r="H11" s="4186"/>
      <c r="I11" s="4186"/>
      <c r="J11" s="4186"/>
      <c r="K11" s="4191"/>
      <c r="L11" s="344"/>
    </row>
    <row r="12" spans="1:12" ht="14.25" customHeight="1">
      <c r="A12" s="4182"/>
      <c r="B12" s="4178"/>
      <c r="C12" s="4176" t="s">
        <v>1117</v>
      </c>
      <c r="D12" s="4176" t="s">
        <v>1118</v>
      </c>
      <c r="E12" s="4178"/>
      <c r="F12" s="4189"/>
      <c r="G12" s="4178" t="s">
        <v>1119</v>
      </c>
      <c r="H12" s="4178" t="s">
        <v>1120</v>
      </c>
      <c r="I12" s="4178" t="s">
        <v>1121</v>
      </c>
      <c r="J12" s="4178" t="s">
        <v>1122</v>
      </c>
      <c r="K12" s="4192" t="s">
        <v>1123</v>
      </c>
      <c r="L12" s="344"/>
    </row>
    <row r="13" spans="1:12" ht="14.25">
      <c r="A13" s="4182"/>
      <c r="B13" s="4178"/>
      <c r="C13" s="4176"/>
      <c r="D13" s="4176"/>
      <c r="E13" s="4178"/>
      <c r="F13" s="4189"/>
      <c r="G13" s="4178"/>
      <c r="H13" s="4178"/>
      <c r="I13" s="4178"/>
      <c r="J13" s="4178"/>
      <c r="K13" s="4192"/>
      <c r="L13" s="344"/>
    </row>
    <row r="14" spans="1:12" ht="14.25">
      <c r="A14" s="4182"/>
      <c r="B14" s="4178"/>
      <c r="C14" s="4176"/>
      <c r="D14" s="4176"/>
      <c r="E14" s="4178"/>
      <c r="F14" s="4189"/>
      <c r="G14" s="4178"/>
      <c r="H14" s="4178"/>
      <c r="I14" s="4178"/>
      <c r="J14" s="4178"/>
      <c r="K14" s="4192"/>
      <c r="L14" s="344"/>
    </row>
    <row r="15" spans="1:12" ht="14.25">
      <c r="A15" s="4182"/>
      <c r="B15" s="4178"/>
      <c r="C15" s="4176"/>
      <c r="D15" s="4176"/>
      <c r="E15" s="4178"/>
      <c r="F15" s="4189"/>
      <c r="G15" s="4178"/>
      <c r="H15" s="4178"/>
      <c r="I15" s="4178"/>
      <c r="J15" s="4178"/>
      <c r="K15" s="4192"/>
      <c r="L15" s="344"/>
    </row>
    <row r="16" spans="1:12" ht="14.25">
      <c r="A16" s="4182"/>
      <c r="B16" s="4178"/>
      <c r="C16" s="4176"/>
      <c r="D16" s="4176"/>
      <c r="E16" s="4178"/>
      <c r="F16" s="4189"/>
      <c r="G16" s="4178"/>
      <c r="H16" s="4178"/>
      <c r="I16" s="4178"/>
      <c r="J16" s="4178"/>
      <c r="K16" s="4192"/>
      <c r="L16" s="344"/>
    </row>
    <row r="17" spans="1:12" ht="14.25">
      <c r="A17" s="4183"/>
      <c r="B17" s="4179"/>
      <c r="C17" s="4177"/>
      <c r="D17" s="4177"/>
      <c r="E17" s="4179"/>
      <c r="F17" s="4190"/>
      <c r="G17" s="4179"/>
      <c r="H17" s="4179"/>
      <c r="I17" s="4179"/>
      <c r="J17" s="4179"/>
      <c r="K17" s="4193"/>
      <c r="L17" s="344"/>
    </row>
    <row r="18" spans="1:12" s="347" customFormat="1" ht="11.25">
      <c r="A18" s="2151" t="s">
        <v>92</v>
      </c>
      <c r="B18" s="2152" t="s">
        <v>93</v>
      </c>
      <c r="C18" s="2152">
        <v>1</v>
      </c>
      <c r="D18" s="2152">
        <v>2</v>
      </c>
      <c r="E18" s="2152">
        <v>3</v>
      </c>
      <c r="F18" s="2152" t="s">
        <v>1124</v>
      </c>
      <c r="G18" s="2152">
        <v>5</v>
      </c>
      <c r="H18" s="2152">
        <v>6</v>
      </c>
      <c r="I18" s="2152">
        <v>7</v>
      </c>
      <c r="J18" s="2152">
        <v>8</v>
      </c>
      <c r="K18" s="2153">
        <v>9</v>
      </c>
    </row>
    <row r="19" spans="1:12" ht="15">
      <c r="A19" s="2148" t="s">
        <v>1125</v>
      </c>
      <c r="B19" s="2149" t="s">
        <v>96</v>
      </c>
      <c r="C19" s="2150" t="s">
        <v>1109</v>
      </c>
      <c r="D19" s="2150" t="s">
        <v>1109</v>
      </c>
      <c r="E19" s="2823"/>
      <c r="F19" s="2824"/>
      <c r="G19" s="2824"/>
      <c r="H19" s="2824"/>
      <c r="I19" s="2824"/>
      <c r="J19" s="2824"/>
      <c r="K19" s="2825"/>
      <c r="L19" s="344"/>
    </row>
    <row r="20" spans="1:12" ht="14.25">
      <c r="A20" s="2135" t="s">
        <v>1126</v>
      </c>
      <c r="B20" s="2132" t="s">
        <v>98</v>
      </c>
      <c r="C20" s="2133" t="s">
        <v>1109</v>
      </c>
      <c r="D20" s="2133" t="s">
        <v>1109</v>
      </c>
      <c r="E20" s="1974"/>
      <c r="F20" s="1973">
        <f>ROUND(G20+H20+I20+J20+K20,1)</f>
        <v>0</v>
      </c>
      <c r="G20" s="1974">
        <v>0</v>
      </c>
      <c r="H20" s="1974">
        <v>0</v>
      </c>
      <c r="I20" s="1974">
        <v>0</v>
      </c>
      <c r="J20" s="1974">
        <v>0</v>
      </c>
      <c r="K20" s="2136">
        <v>0</v>
      </c>
      <c r="L20" s="344"/>
    </row>
    <row r="21" spans="1:12" ht="28.5">
      <c r="A21" s="2137" t="s">
        <v>1127</v>
      </c>
      <c r="B21" s="2132" t="s">
        <v>100</v>
      </c>
      <c r="C21" s="2133" t="s">
        <v>1109</v>
      </c>
      <c r="D21" s="2133" t="s">
        <v>1109</v>
      </c>
      <c r="E21" s="1974"/>
      <c r="F21" s="1973">
        <f>ROUND(G21+H21+I21+J21+K21,1)</f>
        <v>0</v>
      </c>
      <c r="G21" s="1974">
        <v>0</v>
      </c>
      <c r="H21" s="1974"/>
      <c r="I21" s="1974"/>
      <c r="J21" s="1974"/>
      <c r="K21" s="2136"/>
      <c r="L21" s="344"/>
    </row>
    <row r="22" spans="1:12" ht="14.25">
      <c r="A22" s="2135" t="s">
        <v>1128</v>
      </c>
      <c r="B22" s="2132" t="s">
        <v>102</v>
      </c>
      <c r="C22" s="2133" t="s">
        <v>1109</v>
      </c>
      <c r="D22" s="2133" t="s">
        <v>1109</v>
      </c>
      <c r="E22" s="1974"/>
      <c r="F22" s="1973">
        <f>ROUND(G22+H22+I22+J22+K22,1)</f>
        <v>0</v>
      </c>
      <c r="G22" s="1974">
        <v>0</v>
      </c>
      <c r="H22" s="1974"/>
      <c r="I22" s="1974"/>
      <c r="J22" s="1974"/>
      <c r="K22" s="2136"/>
      <c r="L22" s="344"/>
    </row>
    <row r="23" spans="1:12" ht="15">
      <c r="A23" s="2131" t="s">
        <v>1129</v>
      </c>
      <c r="B23" s="2132" t="s">
        <v>104</v>
      </c>
      <c r="C23" s="2133" t="s">
        <v>1109</v>
      </c>
      <c r="D23" s="2133" t="s">
        <v>1109</v>
      </c>
      <c r="E23" s="2819">
        <f>ROUND(E20+E21+E22,1)</f>
        <v>0</v>
      </c>
      <c r="F23" s="2819">
        <f>ROUND(G23+H23+I23+J23+K23,1)</f>
        <v>0</v>
      </c>
      <c r="G23" s="2819">
        <f>ROUND(G20+G21+G22,1)</f>
        <v>0</v>
      </c>
      <c r="H23" s="2819">
        <f>ROUND(H20+H21+H22,1)</f>
        <v>0</v>
      </c>
      <c r="I23" s="2819">
        <f>ROUND(I20+I21+I22,1)</f>
        <v>0</v>
      </c>
      <c r="J23" s="2819">
        <f>ROUND(J20+J21+J22,1)</f>
        <v>0</v>
      </c>
      <c r="K23" s="2820">
        <f>ROUND(K20+K21+K22,1)</f>
        <v>0</v>
      </c>
      <c r="L23" s="344"/>
    </row>
    <row r="24" spans="1:12" ht="15">
      <c r="A24" s="2138" t="s">
        <v>1130</v>
      </c>
      <c r="B24" s="2132" t="s">
        <v>107</v>
      </c>
      <c r="C24" s="2133" t="s">
        <v>1109</v>
      </c>
      <c r="D24" s="2133" t="s">
        <v>1109</v>
      </c>
      <c r="E24" s="2819"/>
      <c r="F24" s="2819"/>
      <c r="G24" s="2819"/>
      <c r="H24" s="2819"/>
      <c r="I24" s="2819"/>
      <c r="J24" s="2819"/>
      <c r="K24" s="2820"/>
      <c r="L24" s="344"/>
    </row>
    <row r="25" spans="1:12" ht="14.25">
      <c r="A25" s="2139" t="s">
        <v>1131</v>
      </c>
      <c r="B25" s="2132" t="s">
        <v>110</v>
      </c>
      <c r="C25" s="2133" t="s">
        <v>1109</v>
      </c>
      <c r="D25" s="2133" t="s">
        <v>1109</v>
      </c>
      <c r="E25" s="1974"/>
      <c r="F25" s="1973">
        <f t="shared" ref="F25:F39" si="0">ROUND(G25+H25+I25+J25+K25,1)</f>
        <v>0</v>
      </c>
      <c r="G25" s="1974"/>
      <c r="H25" s="1974"/>
      <c r="I25" s="1974"/>
      <c r="J25" s="1974"/>
      <c r="K25" s="2136"/>
      <c r="L25" s="344"/>
    </row>
    <row r="26" spans="1:12" s="350" customFormat="1" ht="28.5">
      <c r="A26" s="2140" t="s">
        <v>1132</v>
      </c>
      <c r="B26" s="2132" t="s">
        <v>112</v>
      </c>
      <c r="C26" s="2132" t="s">
        <v>1109</v>
      </c>
      <c r="D26" s="2132" t="s">
        <v>1109</v>
      </c>
      <c r="E26" s="1973">
        <f>+E34</f>
        <v>0</v>
      </c>
      <c r="F26" s="1973">
        <f t="shared" si="0"/>
        <v>0</v>
      </c>
      <c r="G26" s="1973">
        <f>+G27+G28+G29+G30+G31+G32+G33+G34</f>
        <v>0</v>
      </c>
      <c r="H26" s="1973">
        <f>+H27+H28+H29+H30+H31+H32+H33+H34</f>
        <v>0</v>
      </c>
      <c r="I26" s="1973">
        <f>+I27+I28+I29+I30+I31+I32+I33+I34</f>
        <v>0</v>
      </c>
      <c r="J26" s="1973">
        <f>+J27+J28+J29+J30+J31+J32+J33+J34</f>
        <v>0</v>
      </c>
      <c r="K26" s="2134">
        <f>+K27+K28+K29+K30+K31+K32+K33+K34</f>
        <v>0</v>
      </c>
      <c r="L26" s="349"/>
    </row>
    <row r="27" spans="1:12" s="350" customFormat="1" ht="25.5">
      <c r="A27" s="2141" t="s">
        <v>1133</v>
      </c>
      <c r="B27" s="2132" t="s">
        <v>114</v>
      </c>
      <c r="C27" s="2132" t="s">
        <v>1109</v>
      </c>
      <c r="D27" s="2132" t="s">
        <v>1109</v>
      </c>
      <c r="E27" s="1973"/>
      <c r="F27" s="1973">
        <f t="shared" si="0"/>
        <v>0</v>
      </c>
      <c r="G27" s="1973"/>
      <c r="H27" s="1973"/>
      <c r="I27" s="1973"/>
      <c r="J27" s="1973"/>
      <c r="K27" s="2134"/>
      <c r="L27" s="349"/>
    </row>
    <row r="28" spans="1:12" s="350" customFormat="1" ht="14.25">
      <c r="A28" s="2141" t="s">
        <v>1134</v>
      </c>
      <c r="B28" s="2132" t="s">
        <v>345</v>
      </c>
      <c r="C28" s="2132" t="s">
        <v>1109</v>
      </c>
      <c r="D28" s="2132" t="s">
        <v>1109</v>
      </c>
      <c r="E28" s="1973"/>
      <c r="F28" s="1973">
        <f t="shared" si="0"/>
        <v>0</v>
      </c>
      <c r="G28" s="1973"/>
      <c r="H28" s="1973"/>
      <c r="I28" s="1973"/>
      <c r="J28" s="1973"/>
      <c r="K28" s="2134"/>
      <c r="L28" s="349"/>
    </row>
    <row r="29" spans="1:12" s="350" customFormat="1" ht="25.5">
      <c r="A29" s="2141" t="s">
        <v>1135</v>
      </c>
      <c r="B29" s="2132" t="s">
        <v>33</v>
      </c>
      <c r="C29" s="2132" t="s">
        <v>1109</v>
      </c>
      <c r="D29" s="2132" t="s">
        <v>1109</v>
      </c>
      <c r="E29" s="1973"/>
      <c r="F29" s="1973">
        <f t="shared" si="0"/>
        <v>0</v>
      </c>
      <c r="G29" s="1973"/>
      <c r="H29" s="1973"/>
      <c r="I29" s="1973"/>
      <c r="J29" s="1973"/>
      <c r="K29" s="2134"/>
      <c r="L29" s="349"/>
    </row>
    <row r="30" spans="1:12" s="350" customFormat="1" ht="25.5">
      <c r="A30" s="2141" t="s">
        <v>1136</v>
      </c>
      <c r="B30" s="2132" t="s">
        <v>434</v>
      </c>
      <c r="C30" s="2132" t="s">
        <v>1109</v>
      </c>
      <c r="D30" s="2132" t="s">
        <v>1109</v>
      </c>
      <c r="E30" s="1973"/>
      <c r="F30" s="1973">
        <f t="shared" si="0"/>
        <v>0</v>
      </c>
      <c r="G30" s="1973"/>
      <c r="H30" s="1973"/>
      <c r="I30" s="1973"/>
      <c r="J30" s="1973"/>
      <c r="K30" s="2134"/>
      <c r="L30" s="349"/>
    </row>
    <row r="31" spans="1:12" s="350" customFormat="1" ht="14.25">
      <c r="A31" s="2141" t="s">
        <v>1137</v>
      </c>
      <c r="B31" s="2132" t="s">
        <v>436</v>
      </c>
      <c r="C31" s="2132" t="s">
        <v>1109</v>
      </c>
      <c r="D31" s="2132" t="s">
        <v>1109</v>
      </c>
      <c r="E31" s="1973"/>
      <c r="F31" s="1973">
        <f t="shared" si="0"/>
        <v>0</v>
      </c>
      <c r="G31" s="1973"/>
      <c r="H31" s="1973"/>
      <c r="I31" s="1973"/>
      <c r="J31" s="1973"/>
      <c r="K31" s="2134"/>
      <c r="L31" s="349"/>
    </row>
    <row r="32" spans="1:12" s="350" customFormat="1" ht="24">
      <c r="A32" s="2142" t="s">
        <v>1138</v>
      </c>
      <c r="B32" s="2132" t="s">
        <v>438</v>
      </c>
      <c r="C32" s="2132" t="s">
        <v>1109</v>
      </c>
      <c r="D32" s="2132" t="s">
        <v>1109</v>
      </c>
      <c r="E32" s="1973"/>
      <c r="F32" s="1973">
        <f t="shared" si="0"/>
        <v>0</v>
      </c>
      <c r="G32" s="1973"/>
      <c r="H32" s="1973"/>
      <c r="I32" s="1973"/>
      <c r="J32" s="1973"/>
      <c r="K32" s="2134"/>
      <c r="L32" s="349"/>
    </row>
    <row r="33" spans="1:13" ht="14.25">
      <c r="A33" s="2143" t="s">
        <v>1139</v>
      </c>
      <c r="B33" s="2132" t="s">
        <v>440</v>
      </c>
      <c r="C33" s="2132" t="s">
        <v>1109</v>
      </c>
      <c r="D33" s="2132" t="s">
        <v>1109</v>
      </c>
      <c r="E33" s="1973"/>
      <c r="F33" s="1973">
        <f t="shared" si="0"/>
        <v>0</v>
      </c>
      <c r="G33" s="1973"/>
      <c r="H33" s="1973"/>
      <c r="I33" s="1973"/>
      <c r="J33" s="1973"/>
      <c r="K33" s="2134"/>
      <c r="L33" s="344"/>
    </row>
    <row r="34" spans="1:13" ht="28.5" customHeight="1">
      <c r="A34" s="2141" t="s">
        <v>1140</v>
      </c>
      <c r="B34" s="2132" t="s">
        <v>442</v>
      </c>
      <c r="C34" s="2132" t="s">
        <v>1109</v>
      </c>
      <c r="D34" s="2132" t="s">
        <v>1109</v>
      </c>
      <c r="E34" s="1974"/>
      <c r="F34" s="1973">
        <f t="shared" si="0"/>
        <v>0</v>
      </c>
      <c r="G34" s="1974"/>
      <c r="H34" s="1974"/>
      <c r="I34" s="1974"/>
      <c r="J34" s="1974"/>
      <c r="K34" s="2136"/>
      <c r="L34" s="344"/>
    </row>
    <row r="35" spans="1:13" ht="14.25">
      <c r="A35" s="2143" t="s">
        <v>1141</v>
      </c>
      <c r="B35" s="2144" t="s">
        <v>1142</v>
      </c>
      <c r="C35" s="2132" t="s">
        <v>1109</v>
      </c>
      <c r="D35" s="2132" t="s">
        <v>1109</v>
      </c>
      <c r="E35" s="1974"/>
      <c r="F35" s="1973">
        <f t="shared" si="0"/>
        <v>0</v>
      </c>
      <c r="G35" s="1974"/>
      <c r="H35" s="1974"/>
      <c r="I35" s="1974"/>
      <c r="J35" s="1974"/>
      <c r="K35" s="2136"/>
      <c r="L35" s="344"/>
    </row>
    <row r="36" spans="1:13" ht="28.5">
      <c r="A36" s="2135" t="s">
        <v>1143</v>
      </c>
      <c r="B36" s="2132" t="s">
        <v>444</v>
      </c>
      <c r="C36" s="2133" t="s">
        <v>1109</v>
      </c>
      <c r="D36" s="2133" t="s">
        <v>1109</v>
      </c>
      <c r="E36" s="1974"/>
      <c r="F36" s="1973">
        <f t="shared" si="0"/>
        <v>0</v>
      </c>
      <c r="G36" s="1974"/>
      <c r="H36" s="1974"/>
      <c r="I36" s="1974"/>
      <c r="J36" s="1974"/>
      <c r="K36" s="2136"/>
      <c r="L36" s="344"/>
    </row>
    <row r="37" spans="1:13" ht="41.25" customHeight="1">
      <c r="A37" s="2135" t="s">
        <v>1144</v>
      </c>
      <c r="B37" s="2132" t="s">
        <v>446</v>
      </c>
      <c r="C37" s="2133" t="s">
        <v>1109</v>
      </c>
      <c r="D37" s="2133" t="s">
        <v>1109</v>
      </c>
      <c r="E37" s="1974"/>
      <c r="F37" s="1973">
        <f t="shared" si="0"/>
        <v>0</v>
      </c>
      <c r="G37" s="1974"/>
      <c r="H37" s="1974"/>
      <c r="I37" s="1974"/>
      <c r="J37" s="1974"/>
      <c r="K37" s="2136"/>
      <c r="L37" s="344"/>
    </row>
    <row r="38" spans="1:13" ht="17.25" customHeight="1">
      <c r="A38" s="2131" t="s">
        <v>1145</v>
      </c>
      <c r="B38" s="2132" t="s">
        <v>1106</v>
      </c>
      <c r="C38" s="2133" t="s">
        <v>1109</v>
      </c>
      <c r="D38" s="2133" t="s">
        <v>1109</v>
      </c>
      <c r="E38" s="2819">
        <f>ROUND(E25+E26+E36+E37,1)</f>
        <v>0</v>
      </c>
      <c r="F38" s="2819">
        <f t="shared" si="0"/>
        <v>0</v>
      </c>
      <c r="G38" s="2819">
        <f>ROUND(G25+G26+G36+G37,1)</f>
        <v>0</v>
      </c>
      <c r="H38" s="2819">
        <f>ROUND(H25+H26+H36+H37,1)</f>
        <v>0</v>
      </c>
      <c r="I38" s="2819">
        <f>ROUND(I25+I26+I36+I37,1)</f>
        <v>0</v>
      </c>
      <c r="J38" s="2819">
        <f>ROUND(J25+J26+J36+J37,1)</f>
        <v>0</v>
      </c>
      <c r="K38" s="2820">
        <f>ROUND(K25+K26+K36+K37,1)</f>
        <v>0</v>
      </c>
      <c r="L38" s="344"/>
    </row>
    <row r="39" spans="1:13" ht="22.9" customHeight="1">
      <c r="A39" s="2145" t="s">
        <v>1146</v>
      </c>
      <c r="B39" s="2146" t="s">
        <v>713</v>
      </c>
      <c r="C39" s="2147" t="s">
        <v>1109</v>
      </c>
      <c r="D39" s="2147" t="s">
        <v>1109</v>
      </c>
      <c r="E39" s="2821">
        <f>ROUND(E23+E38,1)</f>
        <v>0</v>
      </c>
      <c r="F39" s="2821">
        <f t="shared" si="0"/>
        <v>0</v>
      </c>
      <c r="G39" s="2821">
        <f>ROUND(G23+G38,1)</f>
        <v>0</v>
      </c>
      <c r="H39" s="2821">
        <f>ROUND(H23+H38,1)</f>
        <v>0</v>
      </c>
      <c r="I39" s="2821">
        <f>ROUND(I23+I38,1)</f>
        <v>0</v>
      </c>
      <c r="J39" s="2821">
        <f>ROUND(J23+J38,1)</f>
        <v>0</v>
      </c>
      <c r="K39" s="2822">
        <f>ROUND(K23+K38,1)</f>
        <v>0</v>
      </c>
      <c r="L39" s="344"/>
    </row>
    <row r="40" spans="1:13" ht="24" customHeight="1">
      <c r="A40" s="351" t="s">
        <v>1147</v>
      </c>
      <c r="B40" s="344"/>
      <c r="C40" s="344"/>
      <c r="D40" s="344"/>
      <c r="E40" s="344"/>
      <c r="F40" s="344"/>
      <c r="G40" s="344"/>
      <c r="H40" s="344"/>
      <c r="I40" s="344"/>
      <c r="J40" s="344"/>
      <c r="K40" s="344"/>
      <c r="L40" s="344"/>
    </row>
    <row r="41" spans="1:13" ht="16.5" customHeight="1">
      <c r="A41" s="4175"/>
      <c r="B41" s="4175"/>
      <c r="C41" s="344"/>
      <c r="D41" s="344"/>
      <c r="E41" s="352"/>
      <c r="F41" s="290"/>
      <c r="G41" s="290"/>
      <c r="H41" s="344"/>
      <c r="I41" s="344"/>
      <c r="J41" s="344"/>
      <c r="K41" s="344"/>
      <c r="L41" s="344"/>
    </row>
    <row r="42" spans="1:13" ht="18">
      <c r="A42" s="353"/>
      <c r="B42" s="339"/>
      <c r="C42" s="339"/>
      <c r="D42" s="339"/>
      <c r="E42" s="352"/>
      <c r="F42" s="339"/>
      <c r="G42" s="339"/>
      <c r="H42" s="339"/>
      <c r="I42" s="339"/>
      <c r="J42" s="339"/>
      <c r="K42" s="339"/>
    </row>
    <row r="43" spans="1:13" ht="15.75">
      <c r="A43" s="91" t="str">
        <f>+'ANEXA 1'!B94</f>
        <v>DIRECTOR  GENERAL,</v>
      </c>
      <c r="C43" s="354"/>
      <c r="D43" s="354"/>
      <c r="E43" s="355"/>
      <c r="F43" s="355"/>
      <c r="G43" s="4173" t="str">
        <f>+'ANEXA 1'!D94</f>
        <v>DIRECTOR  EXECUTIV  ECONOMIC,</v>
      </c>
      <c r="H43" s="4173"/>
      <c r="I43" s="356"/>
      <c r="J43" s="356"/>
      <c r="K43" s="356"/>
    </row>
    <row r="44" spans="1:13" ht="15.75" customHeight="1">
      <c r="A44" s="357"/>
      <c r="B44" s="355"/>
      <c r="D44" s="1602"/>
      <c r="E44" s="1602"/>
      <c r="F44" s="1602"/>
      <c r="G44" s="361"/>
      <c r="H44" s="361"/>
      <c r="I44" s="318"/>
      <c r="J44" s="355"/>
      <c r="K44" s="355"/>
      <c r="L44" s="355"/>
      <c r="M44" s="355"/>
    </row>
    <row r="45" spans="1:13" ht="18.75" customHeight="1">
      <c r="A45" s="353" t="str">
        <f>+'ANEXA 1'!B96</f>
        <v>EC.ALBU DRINA</v>
      </c>
      <c r="B45" s="359"/>
      <c r="C45" s="359"/>
      <c r="D45" s="355"/>
      <c r="E45" s="360"/>
      <c r="F45" s="5"/>
      <c r="G45" s="4173" t="str">
        <f>+'ANEXA 1'!D96</f>
        <v>EC.BIRCU FLORINA</v>
      </c>
      <c r="H45" s="4173"/>
      <c r="I45" s="318" t="s">
        <v>1077</v>
      </c>
      <c r="J45" s="359"/>
      <c r="K45" s="359"/>
      <c r="L45" s="355"/>
      <c r="M45" s="355"/>
    </row>
    <row r="46" spans="1:13" ht="21" customHeight="1">
      <c r="A46" s="1959">
        <f>+'ANEXA 1'!B97</f>
        <v>0</v>
      </c>
      <c r="B46" s="355"/>
      <c r="D46" s="1602"/>
      <c r="E46" s="1602"/>
      <c r="F46" s="1602"/>
      <c r="I46" s="361"/>
      <c r="J46" s="355"/>
      <c r="K46" s="355"/>
      <c r="L46" s="355"/>
      <c r="M46" s="355"/>
    </row>
    <row r="47" spans="1:13" ht="16.5" customHeight="1">
      <c r="B47" s="355"/>
      <c r="C47" s="355"/>
      <c r="D47" s="355"/>
      <c r="E47" s="355"/>
      <c r="F47" s="355"/>
      <c r="I47" s="1066"/>
      <c r="J47" s="334"/>
      <c r="K47" s="334"/>
      <c r="L47" s="355"/>
      <c r="M47" s="355"/>
    </row>
    <row r="48" spans="1:13" ht="16.5" customHeight="1">
      <c r="A48" s="1605"/>
      <c r="B48" s="355"/>
      <c r="C48" s="355"/>
      <c r="D48" s="355"/>
      <c r="E48" s="355"/>
      <c r="F48" s="355"/>
      <c r="G48" s="1603"/>
      <c r="H48" s="1600"/>
      <c r="I48" s="315"/>
      <c r="J48" s="335"/>
      <c r="K48" s="335"/>
      <c r="L48" s="355"/>
      <c r="M48" s="355"/>
    </row>
    <row r="49" spans="1:13" ht="15" customHeight="1">
      <c r="A49" s="1604">
        <f>+'ANEXA 1'!B99</f>
        <v>0</v>
      </c>
      <c r="B49" s="355"/>
      <c r="C49" s="355"/>
      <c r="D49" s="355"/>
      <c r="E49" s="355"/>
      <c r="F49" s="355"/>
      <c r="G49" s="4165">
        <f>'ANEXA 1'!D99</f>
        <v>0</v>
      </c>
      <c r="H49" s="4165"/>
      <c r="I49" s="1067"/>
      <c r="J49" s="355"/>
      <c r="K49" s="355"/>
      <c r="L49" s="355"/>
      <c r="M49" s="355"/>
    </row>
    <row r="50" spans="1:13" ht="15" customHeight="1"/>
    <row r="51" spans="1:13" ht="15" customHeight="1">
      <c r="A51" s="1605">
        <f>+'ANEXA 1'!B101</f>
        <v>0</v>
      </c>
      <c r="G51" s="4174">
        <f>'ANEXA 1'!D101</f>
        <v>0</v>
      </c>
      <c r="H51" s="4174"/>
    </row>
    <row r="52" spans="1:13" ht="1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sheetData>
  <sheetProtection algorithmName="SHA-512" hashValue="UKqYvlnNPdrxS/vkk6SL8ThGVqlEf+lfcC2EgestoVkgEIPu2wUIZ2kFb3GY+4+633USmXpQq740e0W9eKd59g==" saltValue="8yw7HhmFn2/Wo++4H7KVXA==" spinCount="100000" sheet="1" objects="1" scenarios="1"/>
  <mergeCells count="21">
    <mergeCell ref="D12:D17"/>
    <mergeCell ref="G12:G17"/>
    <mergeCell ref="H12:H17"/>
    <mergeCell ref="A6:K6"/>
    <mergeCell ref="A7:K7"/>
    <mergeCell ref="A10:A17"/>
    <mergeCell ref="B10:B17"/>
    <mergeCell ref="C10:D11"/>
    <mergeCell ref="E10:E17"/>
    <mergeCell ref="F10:K10"/>
    <mergeCell ref="F11:F17"/>
    <mergeCell ref="G11:K11"/>
    <mergeCell ref="C12:C17"/>
    <mergeCell ref="K12:K17"/>
    <mergeCell ref="I12:I17"/>
    <mergeCell ref="J12:J17"/>
    <mergeCell ref="G43:H43"/>
    <mergeCell ref="G45:H45"/>
    <mergeCell ref="G49:H49"/>
    <mergeCell ref="G51:H51"/>
    <mergeCell ref="A41:B41"/>
  </mergeCells>
  <phoneticPr fontId="0" type="noConversion"/>
  <dataValidations count="1">
    <dataValidation type="whole" allowBlank="1" showErrorMessage="1" sqref="E19:K39">
      <formula1>-9.99999999999999E+27</formula1>
      <formula2>9.99999999999999E+28</formula2>
    </dataValidation>
  </dataValidations>
  <printOptions horizontalCentered="1"/>
  <pageMargins left="0.19685039370078741" right="0.19685039370078741" top="0" bottom="0.78740157480314965" header="0.51181102362204722" footer="0.51181102362204722"/>
  <pageSetup paperSize="9" scale="60"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6"/>
  <dimension ref="A1:Z71"/>
  <sheetViews>
    <sheetView showZeros="0" topLeftCell="G1" workbookViewId="0">
      <selection activeCell="L19" sqref="L19"/>
    </sheetView>
  </sheetViews>
  <sheetFormatPr defaultColWidth="9.140625" defaultRowHeight="18"/>
  <cols>
    <col min="1" max="1" width="29.7109375" style="336" customWidth="1"/>
    <col min="2" max="2" width="5.140625" style="336" customWidth="1"/>
    <col min="3" max="3" width="15.5703125" style="336" customWidth="1"/>
    <col min="4" max="4" width="13" style="336" customWidth="1"/>
    <col min="5" max="5" width="12.5703125" style="336" customWidth="1"/>
    <col min="6" max="6" width="14.28515625" style="336" customWidth="1"/>
    <col min="7" max="7" width="11.42578125" style="336" customWidth="1"/>
    <col min="8" max="8" width="9.28515625" style="336" customWidth="1"/>
    <col min="9" max="9" width="11.7109375" style="336" customWidth="1"/>
    <col min="10" max="10" width="16.42578125" style="336" customWidth="1"/>
    <col min="11" max="11" width="18.42578125" style="336" customWidth="1"/>
    <col min="12" max="12" width="15.85546875" style="336" customWidth="1"/>
    <col min="13" max="13" width="20.42578125" style="336" customWidth="1"/>
    <col min="14" max="14" width="15" style="336" customWidth="1"/>
    <col min="15" max="15" width="12.42578125" style="336" customWidth="1"/>
    <col min="16" max="16" width="10.7109375" style="336" customWidth="1"/>
    <col min="17" max="17" width="12.28515625" style="336" customWidth="1"/>
    <col min="18" max="18" width="9.140625" style="336"/>
    <col min="19" max="19" width="9.140625" style="1971"/>
    <col min="20" max="16384" width="9.140625" style="336"/>
  </cols>
  <sheetData>
    <row r="1" spans="1:26">
      <c r="A1" s="337" t="str">
        <f>'ANEXA 1'!A1:E1</f>
        <v>CASA  DE  ASIGURĂRI  DE  SĂNĂTATE MEHEDINTI</v>
      </c>
      <c r="B1" s="337"/>
      <c r="C1" s="337"/>
      <c r="D1" s="337"/>
      <c r="E1" s="337"/>
      <c r="F1" s="337"/>
      <c r="G1" s="337"/>
    </row>
    <row r="2" spans="1:26">
      <c r="A2" s="338"/>
      <c r="N2" s="339" t="s">
        <v>1110</v>
      </c>
    </row>
    <row r="3" spans="1:26">
      <c r="A3" s="341"/>
    </row>
    <row r="4" spans="1:26" ht="15.75" customHeight="1">
      <c r="A4" s="4180" t="s">
        <v>1111</v>
      </c>
      <c r="B4" s="4180"/>
      <c r="C4" s="4180"/>
      <c r="D4" s="4180"/>
      <c r="E4" s="4180"/>
      <c r="F4" s="4180"/>
      <c r="G4" s="4180"/>
      <c r="H4" s="4180"/>
      <c r="I4" s="4180"/>
      <c r="J4" s="4180"/>
      <c r="K4" s="4180"/>
      <c r="L4" s="4180"/>
      <c r="M4" s="4180"/>
      <c r="N4" s="4180"/>
      <c r="O4" s="4180"/>
      <c r="P4" s="339"/>
      <c r="Q4" s="339"/>
      <c r="R4" s="339"/>
      <c r="T4" s="339"/>
      <c r="U4" s="339"/>
      <c r="V4" s="339"/>
      <c r="W4" s="339"/>
      <c r="X4" s="339"/>
      <c r="Y4" s="339"/>
      <c r="Z4" s="339"/>
    </row>
    <row r="5" spans="1:26">
      <c r="A5" s="4180" t="str">
        <f>'ANEXA 1'!A12:E12</f>
        <v>la  data  de  30  IUNIE  2023</v>
      </c>
      <c r="B5" s="4180"/>
      <c r="C5" s="4180"/>
      <c r="D5" s="4180"/>
      <c r="E5" s="4180"/>
      <c r="F5" s="4180"/>
      <c r="G5" s="4180"/>
      <c r="H5" s="4180"/>
      <c r="I5" s="4180"/>
      <c r="J5" s="4180"/>
      <c r="K5" s="4180"/>
      <c r="L5" s="4180"/>
      <c r="M5" s="4180"/>
      <c r="N5" s="4180"/>
      <c r="O5" s="4180"/>
      <c r="P5" s="339"/>
      <c r="Q5" s="339"/>
      <c r="R5" s="339"/>
      <c r="T5" s="339"/>
      <c r="U5" s="339"/>
      <c r="V5" s="339"/>
      <c r="W5" s="339"/>
      <c r="X5" s="339"/>
      <c r="Y5" s="339"/>
      <c r="Z5" s="339"/>
    </row>
    <row r="6" spans="1:26">
      <c r="A6" s="339"/>
      <c r="B6" s="339"/>
      <c r="C6" s="342"/>
      <c r="D6" s="342"/>
      <c r="E6" s="342"/>
      <c r="F6" s="339"/>
      <c r="G6" s="339"/>
      <c r="H6" s="339"/>
      <c r="I6" s="339"/>
      <c r="J6" s="339"/>
      <c r="K6" s="339"/>
      <c r="L6" s="339"/>
      <c r="M6" s="339"/>
      <c r="N6" s="339"/>
      <c r="O6" s="339"/>
      <c r="P6" s="339"/>
      <c r="Q6" s="339"/>
      <c r="R6" s="339"/>
      <c r="T6" s="339"/>
      <c r="U6" s="339"/>
      <c r="V6" s="339"/>
      <c r="W6" s="339"/>
      <c r="X6" s="339"/>
      <c r="Y6" s="339"/>
      <c r="Z6" s="339"/>
    </row>
    <row r="7" spans="1:26">
      <c r="A7" s="339"/>
      <c r="B7" s="339"/>
      <c r="C7" s="339"/>
      <c r="D7" s="339"/>
      <c r="E7" s="339"/>
      <c r="F7" s="339"/>
      <c r="G7" s="343"/>
      <c r="H7" s="343"/>
      <c r="I7" s="343"/>
      <c r="J7" s="339"/>
      <c r="K7" s="339"/>
      <c r="L7" s="339"/>
      <c r="M7" s="339"/>
      <c r="N7" s="339"/>
      <c r="O7" s="339"/>
      <c r="P7" s="339"/>
      <c r="Q7" s="339"/>
      <c r="R7" s="339"/>
      <c r="T7" s="339"/>
      <c r="U7" s="339"/>
      <c r="V7" s="339"/>
      <c r="W7" s="339"/>
      <c r="X7" s="339"/>
      <c r="Y7" s="339"/>
      <c r="Z7" s="339"/>
    </row>
    <row r="8" spans="1:26" ht="13.15" customHeight="1">
      <c r="A8" s="344" t="s">
        <v>1148</v>
      </c>
      <c r="B8" s="344"/>
      <c r="C8" s="344"/>
      <c r="D8" s="344"/>
      <c r="E8" s="344"/>
      <c r="F8" s="344"/>
      <c r="G8" s="345"/>
      <c r="H8" s="345"/>
      <c r="I8" s="345"/>
      <c r="J8" s="344"/>
      <c r="K8" s="344"/>
      <c r="L8" s="344"/>
      <c r="M8" s="344"/>
      <c r="N8" s="344"/>
      <c r="O8" s="344" t="s">
        <v>1149</v>
      </c>
      <c r="P8" s="340"/>
      <c r="Q8" s="340"/>
      <c r="R8" s="340"/>
      <c r="T8" s="340"/>
      <c r="U8" s="340"/>
      <c r="V8" s="340"/>
      <c r="W8" s="340"/>
      <c r="X8" s="340"/>
      <c r="Y8" s="340"/>
      <c r="Z8" s="339"/>
    </row>
    <row r="9" spans="1:26" ht="18" customHeight="1">
      <c r="A9" s="4181" t="s">
        <v>1113</v>
      </c>
      <c r="B9" s="4184" t="s">
        <v>1114</v>
      </c>
      <c r="C9" s="4221" t="s">
        <v>1150</v>
      </c>
      <c r="D9" s="4221"/>
      <c r="E9" s="4221"/>
      <c r="F9" s="4221"/>
      <c r="G9" s="4221"/>
      <c r="H9" s="4221"/>
      <c r="I9" s="4221"/>
      <c r="J9" s="4210" t="s">
        <v>1151</v>
      </c>
      <c r="K9" s="4212" t="s">
        <v>1152</v>
      </c>
      <c r="L9" s="4212"/>
      <c r="M9" s="4212"/>
      <c r="N9" s="4212"/>
      <c r="O9" s="4214" t="s">
        <v>1153</v>
      </c>
      <c r="P9" s="4214"/>
      <c r="Q9" s="4215"/>
      <c r="R9" s="340"/>
      <c r="T9" s="340"/>
      <c r="U9" s="340"/>
      <c r="V9" s="340"/>
      <c r="W9" s="340"/>
      <c r="X9" s="340"/>
      <c r="Y9" s="340"/>
      <c r="Z9" s="339"/>
    </row>
    <row r="10" spans="1:26">
      <c r="A10" s="4219"/>
      <c r="B10" s="4208"/>
      <c r="C10" s="4202" t="s">
        <v>1154</v>
      </c>
      <c r="D10" s="4204" t="s">
        <v>331</v>
      </c>
      <c r="E10" s="4204"/>
      <c r="F10" s="4204"/>
      <c r="G10" s="4204"/>
      <c r="H10" s="4204"/>
      <c r="I10" s="4204"/>
      <c r="J10" s="4201"/>
      <c r="K10" s="4213"/>
      <c r="L10" s="4213"/>
      <c r="M10" s="4213"/>
      <c r="N10" s="4213"/>
      <c r="O10" s="4216"/>
      <c r="P10" s="4216"/>
      <c r="Q10" s="4217"/>
      <c r="R10" s="340"/>
      <c r="T10" s="340"/>
      <c r="U10" s="340"/>
      <c r="V10" s="340"/>
      <c r="W10" s="340"/>
      <c r="X10" s="340"/>
      <c r="Y10" s="340"/>
      <c r="Z10" s="339"/>
    </row>
    <row r="11" spans="1:26" ht="18" customHeight="1">
      <c r="A11" s="4219"/>
      <c r="B11" s="4208"/>
      <c r="C11" s="4202"/>
      <c r="D11" s="4205" t="s">
        <v>1119</v>
      </c>
      <c r="E11" s="4207" t="s">
        <v>1155</v>
      </c>
      <c r="F11" s="4208" t="s">
        <v>1156</v>
      </c>
      <c r="G11" s="4208" t="s">
        <v>1157</v>
      </c>
      <c r="H11" s="4208" t="s">
        <v>1158</v>
      </c>
      <c r="I11" s="4208" t="s">
        <v>1123</v>
      </c>
      <c r="J11" s="4201"/>
      <c r="K11" s="4213"/>
      <c r="L11" s="4213"/>
      <c r="M11" s="4213"/>
      <c r="N11" s="4213"/>
      <c r="O11" s="4216"/>
      <c r="P11" s="4216"/>
      <c r="Q11" s="4217"/>
      <c r="R11" s="340"/>
      <c r="T11" s="340"/>
      <c r="U11" s="340"/>
      <c r="V11" s="340"/>
      <c r="W11" s="340"/>
      <c r="X11" s="340"/>
      <c r="Y11" s="340"/>
      <c r="Z11" s="339"/>
    </row>
    <row r="12" spans="1:26" ht="18" customHeight="1">
      <c r="A12" s="4219"/>
      <c r="B12" s="4208"/>
      <c r="C12" s="4202"/>
      <c r="D12" s="4205"/>
      <c r="E12" s="4207"/>
      <c r="F12" s="4208"/>
      <c r="G12" s="4208"/>
      <c r="H12" s="4208"/>
      <c r="I12" s="4208"/>
      <c r="J12" s="4201"/>
      <c r="K12" s="4208" t="s">
        <v>1115</v>
      </c>
      <c r="L12" s="4222" t="s">
        <v>1159</v>
      </c>
      <c r="M12" s="4208" t="s">
        <v>1084</v>
      </c>
      <c r="N12" s="4208" t="s">
        <v>1151</v>
      </c>
      <c r="O12" s="4201" t="s">
        <v>1160</v>
      </c>
      <c r="P12" s="4201" t="s">
        <v>1161</v>
      </c>
      <c r="Q12" s="4218" t="s">
        <v>1162</v>
      </c>
      <c r="R12" s="340"/>
      <c r="T12" s="340"/>
      <c r="U12" s="340"/>
      <c r="V12" s="340"/>
      <c r="W12" s="340"/>
      <c r="X12" s="340"/>
      <c r="Y12" s="340"/>
      <c r="Z12" s="339"/>
    </row>
    <row r="13" spans="1:26">
      <c r="A13" s="4219"/>
      <c r="B13" s="4208"/>
      <c r="C13" s="4202"/>
      <c r="D13" s="4205"/>
      <c r="E13" s="4207"/>
      <c r="F13" s="4208"/>
      <c r="G13" s="4208"/>
      <c r="H13" s="4208"/>
      <c r="I13" s="4208"/>
      <c r="J13" s="4201"/>
      <c r="K13" s="4208"/>
      <c r="L13" s="4222"/>
      <c r="M13" s="4208"/>
      <c r="N13" s="4208"/>
      <c r="O13" s="4201"/>
      <c r="P13" s="4201"/>
      <c r="Q13" s="4218"/>
      <c r="R13" s="340"/>
      <c r="T13" s="340"/>
      <c r="U13" s="340"/>
      <c r="V13" s="340"/>
      <c r="W13" s="340"/>
      <c r="X13" s="340"/>
      <c r="Y13" s="340"/>
      <c r="Z13" s="339"/>
    </row>
    <row r="14" spans="1:26" ht="27.75" customHeight="1">
      <c r="A14" s="4219"/>
      <c r="B14" s="4208"/>
      <c r="C14" s="4202"/>
      <c r="D14" s="4205"/>
      <c r="E14" s="4207"/>
      <c r="F14" s="4208"/>
      <c r="G14" s="4208"/>
      <c r="H14" s="4208"/>
      <c r="I14" s="4208"/>
      <c r="J14" s="4201"/>
      <c r="K14" s="4208"/>
      <c r="L14" s="4222"/>
      <c r="M14" s="4208"/>
      <c r="N14" s="4208"/>
      <c r="O14" s="4201"/>
      <c r="P14" s="4201"/>
      <c r="Q14" s="4218"/>
      <c r="R14" s="340"/>
      <c r="T14" s="340"/>
      <c r="U14" s="340"/>
      <c r="V14" s="340"/>
      <c r="W14" s="340"/>
      <c r="X14" s="340"/>
      <c r="Y14" s="340"/>
      <c r="Z14" s="339"/>
    </row>
    <row r="15" spans="1:26" ht="18.75" hidden="1" customHeight="1">
      <c r="A15" s="4219"/>
      <c r="B15" s="4208"/>
      <c r="C15" s="4202"/>
      <c r="D15" s="4205"/>
      <c r="E15" s="2154"/>
      <c r="F15" s="4208"/>
      <c r="G15" s="4208"/>
      <c r="H15" s="4208"/>
      <c r="I15" s="4208"/>
      <c r="J15" s="4201"/>
      <c r="K15" s="4208"/>
      <c r="L15" s="4222"/>
      <c r="M15" s="4208"/>
      <c r="N15" s="4208"/>
      <c r="O15" s="2155"/>
      <c r="P15" s="2156"/>
      <c r="Q15" s="2169"/>
      <c r="R15" s="340"/>
      <c r="T15" s="340"/>
      <c r="U15" s="340"/>
      <c r="V15" s="340"/>
      <c r="W15" s="340"/>
      <c r="X15" s="340"/>
      <c r="Y15" s="340"/>
      <c r="Z15" s="339"/>
    </row>
    <row r="16" spans="1:26" ht="18.75" hidden="1" customHeight="1">
      <c r="A16" s="4220"/>
      <c r="B16" s="4209"/>
      <c r="C16" s="4203"/>
      <c r="D16" s="4206"/>
      <c r="E16" s="2185"/>
      <c r="F16" s="4209"/>
      <c r="G16" s="4209"/>
      <c r="H16" s="4209"/>
      <c r="I16" s="4209"/>
      <c r="J16" s="4211"/>
      <c r="K16" s="4209"/>
      <c r="L16" s="4223"/>
      <c r="M16" s="4209"/>
      <c r="N16" s="4209"/>
      <c r="O16" s="2186"/>
      <c r="P16" s="2187"/>
      <c r="Q16" s="2188"/>
      <c r="R16" s="340"/>
      <c r="T16" s="340"/>
      <c r="U16" s="340"/>
      <c r="V16" s="340"/>
      <c r="W16" s="340"/>
      <c r="X16" s="340"/>
      <c r="Y16" s="340"/>
      <c r="Z16" s="339"/>
    </row>
    <row r="17" spans="1:26" s="1975" customFormat="1" ht="13.15" customHeight="1">
      <c r="A17" s="2191" t="s">
        <v>92</v>
      </c>
      <c r="B17" s="2192" t="s">
        <v>93</v>
      </c>
      <c r="C17" s="2193" t="s">
        <v>1163</v>
      </c>
      <c r="D17" s="2192">
        <v>11</v>
      </c>
      <c r="E17" s="2192">
        <v>12</v>
      </c>
      <c r="F17" s="2192">
        <v>13</v>
      </c>
      <c r="G17" s="2192">
        <v>14</v>
      </c>
      <c r="H17" s="2192">
        <v>15</v>
      </c>
      <c r="I17" s="2192">
        <v>16</v>
      </c>
      <c r="J17" s="2192" t="s">
        <v>1164</v>
      </c>
      <c r="K17" s="2192">
        <v>18</v>
      </c>
      <c r="L17" s="2192">
        <v>19</v>
      </c>
      <c r="M17" s="2192">
        <v>20</v>
      </c>
      <c r="N17" s="2192" t="s">
        <v>1165</v>
      </c>
      <c r="O17" s="2193" t="s">
        <v>1166</v>
      </c>
      <c r="P17" s="2194" t="s">
        <v>1167</v>
      </c>
      <c r="Q17" s="2195" t="s">
        <v>1168</v>
      </c>
      <c r="S17" s="1971"/>
    </row>
    <row r="18" spans="1:26">
      <c r="A18" s="2189" t="s">
        <v>1125</v>
      </c>
      <c r="B18" s="1976" t="s">
        <v>96</v>
      </c>
      <c r="C18" s="1977"/>
      <c r="D18" s="1977"/>
      <c r="E18" s="1977"/>
      <c r="F18" s="1977"/>
      <c r="G18" s="1977"/>
      <c r="H18" s="1977"/>
      <c r="I18" s="1977"/>
      <c r="J18" s="1977"/>
      <c r="K18" s="1977"/>
      <c r="L18" s="1977"/>
      <c r="M18" s="1977"/>
      <c r="N18" s="1977"/>
      <c r="O18" s="1978"/>
      <c r="P18" s="1979"/>
      <c r="Q18" s="2190"/>
      <c r="R18" s="340"/>
      <c r="T18" s="340"/>
      <c r="U18" s="340"/>
      <c r="V18" s="340"/>
      <c r="W18" s="340"/>
      <c r="X18" s="340"/>
      <c r="Y18" s="340"/>
      <c r="Z18" s="339"/>
    </row>
    <row r="19" spans="1:26" ht="24">
      <c r="A19" s="2171" t="s">
        <v>1126</v>
      </c>
      <c r="B19" s="2157" t="s">
        <v>98</v>
      </c>
      <c r="C19" s="2158">
        <f>ROUND(D19+E19+F19+G19+H19+I19,1)</f>
        <v>0</v>
      </c>
      <c r="D19" s="2159">
        <v>0</v>
      </c>
      <c r="E19" s="2159">
        <v>0</v>
      </c>
      <c r="F19" s="2159">
        <v>0</v>
      </c>
      <c r="G19" s="2159">
        <v>0</v>
      </c>
      <c r="H19" s="2159">
        <v>0</v>
      </c>
      <c r="I19" s="2159">
        <v>0</v>
      </c>
      <c r="J19" s="2158">
        <f>'ANEXA 35 a1'!E20+'ANEXA 35 a1'!F20-'ANEXA 35 a2'!C19</f>
        <v>0</v>
      </c>
      <c r="K19" s="2159"/>
      <c r="L19" s="2159"/>
      <c r="M19" s="2159"/>
      <c r="N19" s="2158">
        <f>ROUND(K19+L19-M19,1)</f>
        <v>0</v>
      </c>
      <c r="O19" s="2159"/>
      <c r="P19" s="2160"/>
      <c r="Q19" s="2170"/>
      <c r="R19" s="340"/>
      <c r="S19" s="1972" t="str">
        <f t="shared" ref="S19:S38" si="0">IF(J19-N19&lt;&gt;O19+P19+Q19," eroare "," ")</f>
        <v xml:space="preserve"> </v>
      </c>
      <c r="T19" s="1088"/>
      <c r="U19" s="340"/>
      <c r="V19" s="340"/>
      <c r="W19" s="340"/>
      <c r="X19" s="340"/>
      <c r="Y19" s="340"/>
      <c r="Z19" s="339"/>
    </row>
    <row r="20" spans="1:26" ht="42.75" customHeight="1">
      <c r="A20" s="2172" t="s">
        <v>1127</v>
      </c>
      <c r="B20" s="2157" t="s">
        <v>100</v>
      </c>
      <c r="C20" s="2158">
        <f>ROUND(D20+E20+F20+G20+H20+I20,1)</f>
        <v>0</v>
      </c>
      <c r="D20" s="2159"/>
      <c r="E20" s="2159">
        <v>0</v>
      </c>
      <c r="F20" s="2159"/>
      <c r="G20" s="2159">
        <v>0</v>
      </c>
      <c r="H20" s="2159">
        <v>0</v>
      </c>
      <c r="I20" s="2159"/>
      <c r="J20" s="2158">
        <f>'ANEXA 35 a1'!E21+'ANEXA 35 a1'!F21-'ANEXA 35 a2'!C20</f>
        <v>0</v>
      </c>
      <c r="K20" s="2159"/>
      <c r="L20" s="2159"/>
      <c r="M20" s="2159"/>
      <c r="N20" s="2158">
        <f>ROUND(K20+L20-M20,1)</f>
        <v>0</v>
      </c>
      <c r="O20" s="2159">
        <f>J20-N20</f>
        <v>0</v>
      </c>
      <c r="P20" s="2161"/>
      <c r="Q20" s="2170"/>
      <c r="R20" s="363"/>
      <c r="S20" s="1972" t="str">
        <f t="shared" si="0"/>
        <v xml:space="preserve"> </v>
      </c>
      <c r="T20" s="340"/>
      <c r="U20" s="340"/>
      <c r="V20" s="340"/>
      <c r="W20" s="340"/>
      <c r="X20" s="340"/>
      <c r="Y20" s="340"/>
      <c r="Z20" s="339"/>
    </row>
    <row r="21" spans="1:26" ht="24">
      <c r="A21" s="2171" t="s">
        <v>1128</v>
      </c>
      <c r="B21" s="2157" t="s">
        <v>102</v>
      </c>
      <c r="C21" s="2158">
        <f>ROUND(D21+E21+F21+G21+H21+I21,1)</f>
        <v>0</v>
      </c>
      <c r="D21" s="2159">
        <v>0</v>
      </c>
      <c r="E21" s="2159">
        <v>0</v>
      </c>
      <c r="F21" s="2159"/>
      <c r="G21" s="2159"/>
      <c r="H21" s="2159">
        <v>0</v>
      </c>
      <c r="I21" s="2159"/>
      <c r="J21" s="2158">
        <f>'ANEXA 35 a1'!E22+'ANEXA 35 a1'!F22-'ANEXA 35 a2'!C21</f>
        <v>0</v>
      </c>
      <c r="K21" s="2159"/>
      <c r="L21" s="2159"/>
      <c r="M21" s="2159"/>
      <c r="N21" s="2158">
        <f>ROUND(K21+L21-M21,1)</f>
        <v>0</v>
      </c>
      <c r="O21" s="2159">
        <f>J21-N21</f>
        <v>0</v>
      </c>
      <c r="P21" s="2161">
        <v>0</v>
      </c>
      <c r="Q21" s="2170"/>
      <c r="R21" s="363"/>
      <c r="S21" s="1972" t="str">
        <f t="shared" si="0"/>
        <v xml:space="preserve"> </v>
      </c>
      <c r="T21" s="340"/>
      <c r="U21" s="340"/>
      <c r="V21" s="340"/>
      <c r="W21" s="340"/>
      <c r="X21" s="340"/>
      <c r="Y21" s="340"/>
      <c r="Z21" s="339"/>
    </row>
    <row r="22" spans="1:26">
      <c r="A22" s="2173" t="s">
        <v>1169</v>
      </c>
      <c r="B22" s="2162" t="s">
        <v>104</v>
      </c>
      <c r="C22" s="2163">
        <f>ROUND(D22+E22+F22+G22+H22+I22,1)</f>
        <v>0</v>
      </c>
      <c r="D22" s="2163">
        <f t="shared" ref="D22:Q22" si="1">ROUND(D19+D20+D21,1)</f>
        <v>0</v>
      </c>
      <c r="E22" s="2163">
        <f t="shared" si="1"/>
        <v>0</v>
      </c>
      <c r="F22" s="2163">
        <f t="shared" si="1"/>
        <v>0</v>
      </c>
      <c r="G22" s="2163">
        <f t="shared" si="1"/>
        <v>0</v>
      </c>
      <c r="H22" s="2163">
        <f t="shared" si="1"/>
        <v>0</v>
      </c>
      <c r="I22" s="2163">
        <f t="shared" si="1"/>
        <v>0</v>
      </c>
      <c r="J22" s="2163">
        <f t="shared" si="1"/>
        <v>0</v>
      </c>
      <c r="K22" s="2163">
        <f t="shared" si="1"/>
        <v>0</v>
      </c>
      <c r="L22" s="2163">
        <f t="shared" si="1"/>
        <v>0</v>
      </c>
      <c r="M22" s="2163">
        <f t="shared" si="1"/>
        <v>0</v>
      </c>
      <c r="N22" s="2163">
        <f t="shared" si="1"/>
        <v>0</v>
      </c>
      <c r="O22" s="2159">
        <f>J22-N22</f>
        <v>0</v>
      </c>
      <c r="P22" s="2164">
        <f t="shared" si="1"/>
        <v>0</v>
      </c>
      <c r="Q22" s="2174">
        <f t="shared" si="1"/>
        <v>0</v>
      </c>
      <c r="R22" s="364" t="str">
        <f>IF('ANEXA 1'!E19&lt;&gt;O22+P22+'ANEXA 35 b2'!I19," eroare "," ")</f>
        <v xml:space="preserve"> eroare </v>
      </c>
      <c r="S22" s="1972" t="str">
        <f t="shared" si="0"/>
        <v xml:space="preserve"> </v>
      </c>
      <c r="T22" s="340"/>
      <c r="U22" s="340"/>
      <c r="V22" s="340"/>
      <c r="W22" s="340"/>
      <c r="X22" s="340"/>
      <c r="Y22" s="340"/>
      <c r="Z22" s="339"/>
    </row>
    <row r="23" spans="1:26">
      <c r="A23" s="2175" t="s">
        <v>1130</v>
      </c>
      <c r="B23" s="2162" t="s">
        <v>107</v>
      </c>
      <c r="C23" s="2163"/>
      <c r="D23" s="2163"/>
      <c r="E23" s="2163"/>
      <c r="F23" s="2163"/>
      <c r="G23" s="2163"/>
      <c r="H23" s="2163"/>
      <c r="I23" s="2163"/>
      <c r="J23" s="2163"/>
      <c r="K23" s="2163"/>
      <c r="L23" s="2163"/>
      <c r="M23" s="2163"/>
      <c r="N23" s="2163"/>
      <c r="O23" s="2165">
        <f t="shared" ref="O23:O25" si="2">J23-N23</f>
        <v>0</v>
      </c>
      <c r="P23" s="2166"/>
      <c r="Q23" s="2176"/>
      <c r="R23" s="363"/>
      <c r="S23" s="1972" t="str">
        <f t="shared" si="0"/>
        <v xml:space="preserve"> </v>
      </c>
      <c r="T23" s="340"/>
      <c r="U23" s="340"/>
      <c r="V23" s="340"/>
      <c r="W23" s="340"/>
      <c r="X23" s="340"/>
      <c r="Y23" s="340"/>
      <c r="Z23" s="339"/>
    </row>
    <row r="24" spans="1:26">
      <c r="A24" s="2171" t="s">
        <v>1170</v>
      </c>
      <c r="B24" s="2157" t="s">
        <v>110</v>
      </c>
      <c r="C24" s="2158">
        <f t="shared" ref="C24:C37" si="3">ROUND(D24+E24+F24+G24+H24+I24,1)</f>
        <v>0</v>
      </c>
      <c r="D24" s="2159"/>
      <c r="E24" s="2159"/>
      <c r="F24" s="2159"/>
      <c r="G24" s="2159"/>
      <c r="H24" s="2159"/>
      <c r="I24" s="2159"/>
      <c r="J24" s="2158">
        <f>'ANEXA 35 a1'!E25+'ANEXA 35 a1'!F25-'ANEXA 35 a2'!C24</f>
        <v>0</v>
      </c>
      <c r="K24" s="2159"/>
      <c r="L24" s="2159"/>
      <c r="M24" s="2159"/>
      <c r="N24" s="2158">
        <f t="shared" ref="N24:N36" si="4">ROUND(K24+L24-M24,1)</f>
        <v>0</v>
      </c>
      <c r="O24" s="2159">
        <f t="shared" si="2"/>
        <v>0</v>
      </c>
      <c r="P24" s="2160">
        <v>0</v>
      </c>
      <c r="Q24" s="2170"/>
      <c r="R24" s="363"/>
      <c r="S24" s="1972" t="str">
        <f t="shared" si="0"/>
        <v xml:space="preserve"> </v>
      </c>
      <c r="T24" s="340"/>
      <c r="U24" s="340"/>
      <c r="V24" s="340"/>
      <c r="W24" s="340"/>
      <c r="X24" s="340"/>
      <c r="Y24" s="340"/>
      <c r="Z24" s="339"/>
    </row>
    <row r="25" spans="1:26" s="350" customFormat="1" ht="24">
      <c r="A25" s="2171" t="s">
        <v>1132</v>
      </c>
      <c r="B25" s="2167" t="s">
        <v>112</v>
      </c>
      <c r="C25" s="2158">
        <f t="shared" si="3"/>
        <v>0</v>
      </c>
      <c r="D25" s="2158">
        <f t="shared" ref="D25:I25" si="5">+D26+D27+D28+D29+D30+D31+D32+D33</f>
        <v>0</v>
      </c>
      <c r="E25" s="2158">
        <f t="shared" si="5"/>
        <v>0</v>
      </c>
      <c r="F25" s="2158">
        <f t="shared" si="5"/>
        <v>0</v>
      </c>
      <c r="G25" s="2158">
        <f t="shared" si="5"/>
        <v>0</v>
      </c>
      <c r="H25" s="2158">
        <f t="shared" si="5"/>
        <v>0</v>
      </c>
      <c r="I25" s="2158">
        <f t="shared" si="5"/>
        <v>0</v>
      </c>
      <c r="J25" s="2158">
        <f>'ANEXA 35 a1'!E26+'ANEXA 35 a1'!F26-'ANEXA 35 a2'!C25</f>
        <v>0</v>
      </c>
      <c r="K25" s="2158">
        <f>K33</f>
        <v>0</v>
      </c>
      <c r="L25" s="2158">
        <f t="shared" ref="L25:N25" si="6">L33</f>
        <v>0</v>
      </c>
      <c r="M25" s="2158">
        <f t="shared" si="6"/>
        <v>0</v>
      </c>
      <c r="N25" s="2158">
        <f t="shared" si="6"/>
        <v>0</v>
      </c>
      <c r="O25" s="2159">
        <f t="shared" si="2"/>
        <v>0</v>
      </c>
      <c r="P25" s="2161"/>
      <c r="Q25" s="2177"/>
      <c r="R25" s="365"/>
      <c r="S25" s="1972" t="str">
        <f t="shared" si="0"/>
        <v xml:space="preserve"> </v>
      </c>
      <c r="T25" s="366"/>
      <c r="U25" s="366"/>
      <c r="V25" s="1538">
        <f>J25-N25-O25-P25-Q25</f>
        <v>0</v>
      </c>
      <c r="W25" s="366"/>
      <c r="X25" s="366"/>
      <c r="Y25" s="366"/>
      <c r="Z25" s="367"/>
    </row>
    <row r="26" spans="1:26" ht="36">
      <c r="A26" s="2171" t="s">
        <v>1133</v>
      </c>
      <c r="B26" s="2167" t="s">
        <v>114</v>
      </c>
      <c r="C26" s="2158">
        <f t="shared" si="3"/>
        <v>0</v>
      </c>
      <c r="D26" s="2158"/>
      <c r="E26" s="2158"/>
      <c r="F26" s="2158"/>
      <c r="G26" s="2158"/>
      <c r="H26" s="2158"/>
      <c r="I26" s="2158"/>
      <c r="J26" s="2158">
        <f>'ANEXA 35 a1'!E27+'ANEXA 35 a1'!F27-'ANEXA 35 a2'!C26</f>
        <v>0</v>
      </c>
      <c r="K26" s="2158"/>
      <c r="L26" s="2158"/>
      <c r="M26" s="2158"/>
      <c r="N26" s="2158">
        <f t="shared" si="4"/>
        <v>0</v>
      </c>
      <c r="O26" s="2159"/>
      <c r="P26" s="2160"/>
      <c r="Q26" s="2170"/>
      <c r="R26" s="340"/>
      <c r="S26" s="1972" t="str">
        <f t="shared" si="0"/>
        <v xml:space="preserve"> </v>
      </c>
      <c r="T26" s="340"/>
      <c r="U26" s="340"/>
      <c r="V26" s="340"/>
      <c r="W26" s="340"/>
      <c r="X26" s="340"/>
      <c r="Y26" s="340"/>
      <c r="Z26" s="339"/>
    </row>
    <row r="27" spans="1:26" ht="24">
      <c r="A27" s="2171" t="s">
        <v>1134</v>
      </c>
      <c r="B27" s="2167" t="s">
        <v>345</v>
      </c>
      <c r="C27" s="2158">
        <f t="shared" si="3"/>
        <v>0</v>
      </c>
      <c r="D27" s="2158"/>
      <c r="E27" s="2158"/>
      <c r="F27" s="2158"/>
      <c r="G27" s="2158"/>
      <c r="H27" s="2158"/>
      <c r="I27" s="2158"/>
      <c r="J27" s="2158">
        <f>'ANEXA 35 a1'!E28+'ANEXA 35 a1'!F28-'ANEXA 35 a2'!C27</f>
        <v>0</v>
      </c>
      <c r="K27" s="2158"/>
      <c r="L27" s="2158"/>
      <c r="M27" s="2158"/>
      <c r="N27" s="2158">
        <f t="shared" si="4"/>
        <v>0</v>
      </c>
      <c r="O27" s="2159"/>
      <c r="P27" s="2160"/>
      <c r="Q27" s="2170"/>
      <c r="R27" s="340"/>
      <c r="S27" s="1972" t="str">
        <f t="shared" si="0"/>
        <v xml:space="preserve"> </v>
      </c>
      <c r="T27" s="340"/>
      <c r="U27" s="340"/>
      <c r="V27" s="340"/>
      <c r="W27" s="340"/>
      <c r="X27" s="340"/>
      <c r="Y27" s="340"/>
      <c r="Z27" s="339"/>
    </row>
    <row r="28" spans="1:26" ht="48">
      <c r="A28" s="2171" t="s">
        <v>1135</v>
      </c>
      <c r="B28" s="2167" t="s">
        <v>33</v>
      </c>
      <c r="C28" s="2158">
        <f t="shared" si="3"/>
        <v>0</v>
      </c>
      <c r="D28" s="2158"/>
      <c r="E28" s="2158"/>
      <c r="F28" s="2158"/>
      <c r="G28" s="2158"/>
      <c r="H28" s="2158"/>
      <c r="I28" s="2158"/>
      <c r="J28" s="2158">
        <f>'ANEXA 35 a1'!E29+'ANEXA 35 a1'!F29-'ANEXA 35 a2'!C28</f>
        <v>0</v>
      </c>
      <c r="K28" s="2158"/>
      <c r="L28" s="2158"/>
      <c r="M28" s="2158"/>
      <c r="N28" s="2158">
        <f t="shared" si="4"/>
        <v>0</v>
      </c>
      <c r="O28" s="2159"/>
      <c r="P28" s="2160"/>
      <c r="Q28" s="2170"/>
      <c r="R28" s="340"/>
      <c r="S28" s="1972" t="str">
        <f t="shared" si="0"/>
        <v xml:space="preserve"> </v>
      </c>
      <c r="T28" s="340"/>
      <c r="U28" s="340"/>
      <c r="V28" s="340"/>
      <c r="W28" s="340"/>
      <c r="X28" s="340"/>
      <c r="Y28" s="340"/>
      <c r="Z28" s="339"/>
    </row>
    <row r="29" spans="1:26" ht="48">
      <c r="A29" s="2171" t="s">
        <v>1136</v>
      </c>
      <c r="B29" s="2167" t="s">
        <v>434</v>
      </c>
      <c r="C29" s="2158">
        <f t="shared" si="3"/>
        <v>0</v>
      </c>
      <c r="D29" s="2158"/>
      <c r="E29" s="2158"/>
      <c r="F29" s="2158"/>
      <c r="G29" s="2158"/>
      <c r="H29" s="2158"/>
      <c r="I29" s="2158"/>
      <c r="J29" s="2158">
        <f>'ANEXA 35 a1'!E30+'ANEXA 35 a1'!F30-'ANEXA 35 a2'!C29</f>
        <v>0</v>
      </c>
      <c r="K29" s="2158"/>
      <c r="L29" s="2158"/>
      <c r="M29" s="2158"/>
      <c r="N29" s="2158">
        <f t="shared" si="4"/>
        <v>0</v>
      </c>
      <c r="O29" s="2159"/>
      <c r="P29" s="2160"/>
      <c r="Q29" s="2170"/>
      <c r="R29" s="340"/>
      <c r="S29" s="1972" t="str">
        <f t="shared" si="0"/>
        <v xml:space="preserve"> </v>
      </c>
      <c r="T29" s="340"/>
      <c r="U29" s="340"/>
      <c r="V29" s="340"/>
      <c r="W29" s="340"/>
      <c r="X29" s="340"/>
      <c r="Y29" s="340"/>
      <c r="Z29" s="339"/>
    </row>
    <row r="30" spans="1:26">
      <c r="A30" s="2171" t="s">
        <v>1137</v>
      </c>
      <c r="B30" s="2167" t="s">
        <v>436</v>
      </c>
      <c r="C30" s="2158">
        <f t="shared" si="3"/>
        <v>0</v>
      </c>
      <c r="D30" s="2158"/>
      <c r="E30" s="2158"/>
      <c r="F30" s="2158"/>
      <c r="G30" s="2158"/>
      <c r="H30" s="2158"/>
      <c r="I30" s="2158"/>
      <c r="J30" s="2158">
        <f>'ANEXA 35 a1'!E31+'ANEXA 35 a1'!F31-'ANEXA 35 a2'!C30</f>
        <v>0</v>
      </c>
      <c r="K30" s="2158"/>
      <c r="L30" s="2158"/>
      <c r="M30" s="2158"/>
      <c r="N30" s="2158">
        <f t="shared" si="4"/>
        <v>0</v>
      </c>
      <c r="O30" s="2159"/>
      <c r="P30" s="2160"/>
      <c r="Q30" s="2170"/>
      <c r="R30" s="340"/>
      <c r="S30" s="1972" t="str">
        <f t="shared" si="0"/>
        <v xml:space="preserve"> </v>
      </c>
      <c r="T30" s="340"/>
      <c r="U30" s="340"/>
      <c r="V30" s="340"/>
      <c r="W30" s="340"/>
      <c r="X30" s="340"/>
      <c r="Y30" s="340"/>
      <c r="Z30" s="339"/>
    </row>
    <row r="31" spans="1:26" ht="48">
      <c r="A31" s="2171" t="s">
        <v>1138</v>
      </c>
      <c r="B31" s="2167" t="s">
        <v>438</v>
      </c>
      <c r="C31" s="2158">
        <f t="shared" si="3"/>
        <v>0</v>
      </c>
      <c r="D31" s="2158"/>
      <c r="E31" s="2158"/>
      <c r="F31" s="2158"/>
      <c r="G31" s="2158"/>
      <c r="H31" s="2158"/>
      <c r="I31" s="2158"/>
      <c r="J31" s="2158">
        <f>'ANEXA 35 a1'!E32+'ANEXA 35 a1'!F32-'ANEXA 35 a2'!C31</f>
        <v>0</v>
      </c>
      <c r="K31" s="2158"/>
      <c r="L31" s="2158"/>
      <c r="M31" s="2158"/>
      <c r="N31" s="2158">
        <f t="shared" si="4"/>
        <v>0</v>
      </c>
      <c r="O31" s="2159"/>
      <c r="P31" s="2160"/>
      <c r="Q31" s="2170"/>
      <c r="R31" s="340"/>
      <c r="S31" s="1972" t="str">
        <f t="shared" si="0"/>
        <v xml:space="preserve"> </v>
      </c>
      <c r="T31" s="340"/>
      <c r="U31" s="340"/>
      <c r="V31" s="340"/>
      <c r="W31" s="340"/>
      <c r="X31" s="340"/>
      <c r="Y31" s="340"/>
      <c r="Z31" s="339"/>
    </row>
    <row r="32" spans="1:26" ht="24">
      <c r="A32" s="2171" t="s">
        <v>1139</v>
      </c>
      <c r="B32" s="2167" t="s">
        <v>440</v>
      </c>
      <c r="C32" s="2158">
        <f t="shared" si="3"/>
        <v>0</v>
      </c>
      <c r="D32" s="2158"/>
      <c r="E32" s="2158"/>
      <c r="F32" s="2158"/>
      <c r="G32" s="2158"/>
      <c r="H32" s="2158"/>
      <c r="I32" s="2158"/>
      <c r="J32" s="2158">
        <f>'ANEXA 35 a1'!E33+'ANEXA 35 a1'!F33-'ANEXA 35 a2'!C32</f>
        <v>0</v>
      </c>
      <c r="K32" s="2158"/>
      <c r="L32" s="2158"/>
      <c r="M32" s="2158"/>
      <c r="N32" s="2158">
        <f t="shared" si="4"/>
        <v>0</v>
      </c>
      <c r="O32" s="2159"/>
      <c r="P32" s="2160"/>
      <c r="Q32" s="2170"/>
      <c r="R32" s="340"/>
      <c r="S32" s="1972" t="str">
        <f t="shared" si="0"/>
        <v xml:space="preserve"> </v>
      </c>
      <c r="T32" s="340"/>
      <c r="U32" s="340"/>
      <c r="V32" s="340"/>
      <c r="W32" s="340"/>
      <c r="X32" s="340"/>
      <c r="Y32" s="340"/>
      <c r="Z32" s="339"/>
    </row>
    <row r="33" spans="1:26" ht="24">
      <c r="A33" s="2171" t="s">
        <v>1140</v>
      </c>
      <c r="B33" s="2167" t="s">
        <v>442</v>
      </c>
      <c r="C33" s="2158">
        <f t="shared" si="3"/>
        <v>0</v>
      </c>
      <c r="D33" s="2159"/>
      <c r="E33" s="2159"/>
      <c r="F33" s="2159">
        <v>0</v>
      </c>
      <c r="G33" s="2159">
        <v>0</v>
      </c>
      <c r="H33" s="2159"/>
      <c r="I33" s="2159"/>
      <c r="J33" s="2158">
        <f>'ANEXA 35 a1'!E34+'ANEXA 35 a1'!F34-'ANEXA 35 a2'!C33</f>
        <v>0</v>
      </c>
      <c r="K33" s="2159"/>
      <c r="L33" s="2159"/>
      <c r="M33" s="2159"/>
      <c r="N33" s="2158">
        <f t="shared" si="4"/>
        <v>0</v>
      </c>
      <c r="O33" s="2159">
        <f t="shared" ref="O33:O36" si="7">J33-N33</f>
        <v>0</v>
      </c>
      <c r="P33" s="2158"/>
      <c r="Q33" s="2178"/>
      <c r="R33" s="340"/>
      <c r="S33" s="1972" t="str">
        <f t="shared" si="0"/>
        <v xml:space="preserve"> </v>
      </c>
      <c r="T33" s="340"/>
      <c r="U33" s="1539">
        <f>J33-N33-O33-P33-Q33</f>
        <v>0</v>
      </c>
      <c r="V33" s="340"/>
      <c r="W33" s="340"/>
      <c r="X33" s="340"/>
      <c r="Y33" s="340"/>
      <c r="Z33" s="339"/>
    </row>
    <row r="34" spans="1:26">
      <c r="A34" s="2171" t="s">
        <v>1141</v>
      </c>
      <c r="B34" s="2168" t="s">
        <v>1142</v>
      </c>
      <c r="C34" s="2158">
        <f t="shared" si="3"/>
        <v>0</v>
      </c>
      <c r="D34" s="2159">
        <v>0</v>
      </c>
      <c r="E34" s="2159">
        <v>0</v>
      </c>
      <c r="F34" s="2159">
        <v>0</v>
      </c>
      <c r="G34" s="2159">
        <v>0</v>
      </c>
      <c r="H34" s="2159">
        <v>0</v>
      </c>
      <c r="I34" s="2159">
        <v>0</v>
      </c>
      <c r="J34" s="2158">
        <f>'ANEXA 35 a1'!E35+'ANEXA 35 a1'!F35-'ANEXA 35 a2'!C34</f>
        <v>0</v>
      </c>
      <c r="K34" s="2159"/>
      <c r="L34" s="2159">
        <v>0</v>
      </c>
      <c r="M34" s="2159">
        <v>0</v>
      </c>
      <c r="N34" s="2158">
        <f t="shared" si="4"/>
        <v>0</v>
      </c>
      <c r="O34" s="2159">
        <v>0</v>
      </c>
      <c r="P34" s="2160">
        <v>0</v>
      </c>
      <c r="Q34" s="2170"/>
      <c r="R34" s="340"/>
      <c r="S34" s="1972" t="str">
        <f t="shared" si="0"/>
        <v xml:space="preserve"> </v>
      </c>
      <c r="T34" s="340"/>
      <c r="U34" s="340"/>
      <c r="V34" s="340"/>
      <c r="W34" s="340"/>
      <c r="X34" s="340"/>
      <c r="Y34" s="340"/>
      <c r="Z34" s="339"/>
    </row>
    <row r="35" spans="1:26" ht="52.5" customHeight="1">
      <c r="A35" s="2171" t="s">
        <v>1143</v>
      </c>
      <c r="B35" s="2157" t="s">
        <v>444</v>
      </c>
      <c r="C35" s="2158">
        <f t="shared" si="3"/>
        <v>0</v>
      </c>
      <c r="D35" s="2159"/>
      <c r="E35" s="2159">
        <v>0</v>
      </c>
      <c r="F35" s="2159"/>
      <c r="G35" s="2159">
        <v>0</v>
      </c>
      <c r="H35" s="2159">
        <v>0</v>
      </c>
      <c r="I35" s="2159">
        <v>0</v>
      </c>
      <c r="J35" s="2158">
        <f>'ANEXA 35 a1'!E36+'ANEXA 35 a1'!F36-'ANEXA 35 a2'!C35</f>
        <v>0</v>
      </c>
      <c r="K35" s="2159"/>
      <c r="L35" s="2159"/>
      <c r="M35" s="2159"/>
      <c r="N35" s="2158">
        <f t="shared" si="4"/>
        <v>0</v>
      </c>
      <c r="O35" s="2159">
        <f t="shared" si="7"/>
        <v>0</v>
      </c>
      <c r="P35" s="2158">
        <v>0</v>
      </c>
      <c r="Q35" s="2178"/>
      <c r="R35" s="340"/>
      <c r="S35" s="1972" t="str">
        <f t="shared" si="0"/>
        <v xml:space="preserve"> </v>
      </c>
      <c r="T35" s="340"/>
      <c r="U35" s="1539">
        <f>J35-N35-O35-P35-Q35</f>
        <v>0</v>
      </c>
      <c r="V35" s="340"/>
      <c r="W35" s="340"/>
      <c r="X35" s="340"/>
      <c r="Y35" s="340"/>
      <c r="Z35" s="339"/>
    </row>
    <row r="36" spans="1:26" ht="53.25" customHeight="1">
      <c r="A36" s="2171" t="s">
        <v>1144</v>
      </c>
      <c r="B36" s="2157" t="s">
        <v>446</v>
      </c>
      <c r="C36" s="2158">
        <f t="shared" si="3"/>
        <v>0</v>
      </c>
      <c r="D36" s="2159"/>
      <c r="E36" s="2159">
        <v>0</v>
      </c>
      <c r="F36" s="2159"/>
      <c r="G36" s="2159">
        <v>0</v>
      </c>
      <c r="H36" s="2159">
        <v>0</v>
      </c>
      <c r="I36" s="2159"/>
      <c r="J36" s="2158">
        <f>'ANEXA 35 a1'!E37+'ANEXA 35 a1'!F37-'ANEXA 35 a2'!C36</f>
        <v>0</v>
      </c>
      <c r="K36" s="2159"/>
      <c r="L36" s="2159"/>
      <c r="M36" s="2159"/>
      <c r="N36" s="2158">
        <f t="shared" si="4"/>
        <v>0</v>
      </c>
      <c r="O36" s="2159">
        <f t="shared" si="7"/>
        <v>0</v>
      </c>
      <c r="P36" s="2158">
        <v>0</v>
      </c>
      <c r="Q36" s="2178"/>
      <c r="R36" s="340"/>
      <c r="S36" s="1972" t="str">
        <f t="shared" si="0"/>
        <v xml:space="preserve"> </v>
      </c>
      <c r="T36" s="340"/>
      <c r="U36" s="340"/>
      <c r="V36" s="340"/>
      <c r="W36" s="340"/>
      <c r="X36" s="340"/>
      <c r="Y36" s="340"/>
      <c r="Z36" s="339"/>
    </row>
    <row r="37" spans="1:26">
      <c r="A37" s="2179" t="s">
        <v>1145</v>
      </c>
      <c r="B37" s="2157" t="s">
        <v>1106</v>
      </c>
      <c r="C37" s="2163">
        <f t="shared" si="3"/>
        <v>0</v>
      </c>
      <c r="D37" s="2163">
        <f t="shared" ref="D37:Q37" si="8">ROUND(D24+D25+D35+D36,1)</f>
        <v>0</v>
      </c>
      <c r="E37" s="2163">
        <f t="shared" si="8"/>
        <v>0</v>
      </c>
      <c r="F37" s="2163">
        <f t="shared" si="8"/>
        <v>0</v>
      </c>
      <c r="G37" s="2163">
        <f t="shared" si="8"/>
        <v>0</v>
      </c>
      <c r="H37" s="2163">
        <f t="shared" si="8"/>
        <v>0</v>
      </c>
      <c r="I37" s="2163">
        <f t="shared" si="8"/>
        <v>0</v>
      </c>
      <c r="J37" s="2163">
        <f t="shared" si="8"/>
        <v>0</v>
      </c>
      <c r="K37" s="2163">
        <f t="shared" ref="K37:N37" si="9">ROUND(K24+K25+K35+K36,1)</f>
        <v>0</v>
      </c>
      <c r="L37" s="2163">
        <f t="shared" si="9"/>
        <v>0</v>
      </c>
      <c r="M37" s="2163">
        <f t="shared" si="9"/>
        <v>0</v>
      </c>
      <c r="N37" s="2163">
        <f t="shared" si="9"/>
        <v>0</v>
      </c>
      <c r="O37" s="2163">
        <f t="shared" si="8"/>
        <v>0</v>
      </c>
      <c r="P37" s="2163">
        <f t="shared" si="8"/>
        <v>0</v>
      </c>
      <c r="Q37" s="2180">
        <f t="shared" si="8"/>
        <v>0</v>
      </c>
      <c r="R37" s="368"/>
      <c r="S37" s="1972" t="str">
        <f t="shared" si="0"/>
        <v xml:space="preserve"> </v>
      </c>
      <c r="T37" s="340"/>
      <c r="U37" s="340"/>
      <c r="V37" s="340"/>
      <c r="W37" s="340"/>
      <c r="X37" s="340"/>
      <c r="Y37" s="340"/>
      <c r="Z37" s="339"/>
    </row>
    <row r="38" spans="1:26" ht="33" customHeight="1">
      <c r="A38" s="2181" t="s">
        <v>2332</v>
      </c>
      <c r="B38" s="2182" t="s">
        <v>713</v>
      </c>
      <c r="C38" s="2183">
        <f t="shared" ref="C38:Q38" si="10">ROUND(C22+C37,1)</f>
        <v>0</v>
      </c>
      <c r="D38" s="2183">
        <f t="shared" si="10"/>
        <v>0</v>
      </c>
      <c r="E38" s="2183">
        <f t="shared" si="10"/>
        <v>0</v>
      </c>
      <c r="F38" s="2183">
        <f t="shared" si="10"/>
        <v>0</v>
      </c>
      <c r="G38" s="2183">
        <f t="shared" si="10"/>
        <v>0</v>
      </c>
      <c r="H38" s="2183">
        <f t="shared" si="10"/>
        <v>0</v>
      </c>
      <c r="I38" s="2183">
        <f t="shared" si="10"/>
        <v>0</v>
      </c>
      <c r="J38" s="2183">
        <f t="shared" si="10"/>
        <v>0</v>
      </c>
      <c r="K38" s="2183">
        <f t="shared" ref="K38:N38" si="11">ROUND(K22+K37,1)</f>
        <v>0</v>
      </c>
      <c r="L38" s="2183">
        <f t="shared" si="11"/>
        <v>0</v>
      </c>
      <c r="M38" s="2183">
        <f t="shared" si="11"/>
        <v>0</v>
      </c>
      <c r="N38" s="2183">
        <f t="shared" si="11"/>
        <v>0</v>
      </c>
      <c r="O38" s="2183">
        <f t="shared" si="10"/>
        <v>0</v>
      </c>
      <c r="P38" s="2183">
        <f t="shared" si="10"/>
        <v>0</v>
      </c>
      <c r="Q38" s="2184">
        <f t="shared" si="10"/>
        <v>0</v>
      </c>
      <c r="R38" s="340"/>
      <c r="S38" s="1972" t="str">
        <f t="shared" si="0"/>
        <v xml:space="preserve"> </v>
      </c>
      <c r="T38" s="340"/>
      <c r="U38" s="340"/>
      <c r="V38" s="340"/>
      <c r="W38" s="340"/>
      <c r="X38" s="340"/>
      <c r="Y38" s="340"/>
      <c r="Z38" s="339"/>
    </row>
    <row r="39" spans="1:26" ht="19.149999999999999" customHeight="1">
      <c r="A39" s="4198" t="s">
        <v>1171</v>
      </c>
      <c r="B39" s="4198"/>
      <c r="C39" s="4198"/>
      <c r="D39" s="4198"/>
      <c r="E39" s="4198"/>
      <c r="F39" s="4198"/>
      <c r="G39" s="4198"/>
      <c r="H39" s="4198"/>
      <c r="I39" s="4198"/>
      <c r="J39" s="4198"/>
      <c r="K39" s="4198"/>
      <c r="L39" s="4198"/>
      <c r="M39" s="4198"/>
      <c r="N39" s="4198"/>
      <c r="O39" s="369"/>
      <c r="P39" s="340"/>
      <c r="Q39" s="340"/>
      <c r="R39" s="340"/>
      <c r="T39" s="340"/>
      <c r="U39" s="340"/>
      <c r="V39" s="340"/>
      <c r="W39" s="340"/>
      <c r="X39" s="340"/>
      <c r="Y39" s="340"/>
      <c r="Z39" s="339"/>
    </row>
    <row r="40" spans="1:26" ht="10.9" customHeight="1">
      <c r="A40" s="351" t="s">
        <v>1172</v>
      </c>
      <c r="B40" s="340"/>
      <c r="C40" s="340"/>
      <c r="D40" s="340"/>
      <c r="E40" s="340"/>
      <c r="F40" s="340"/>
      <c r="G40" s="340"/>
      <c r="H40" s="340"/>
      <c r="I40" s="340"/>
      <c r="J40" s="340"/>
      <c r="K40" s="340"/>
      <c r="L40" s="340"/>
      <c r="M40" s="340"/>
      <c r="N40" s="340"/>
      <c r="O40" s="340"/>
      <c r="P40" s="340"/>
      <c r="Q40" s="340"/>
      <c r="R40" s="340"/>
      <c r="T40" s="340"/>
      <c r="U40" s="340"/>
      <c r="V40" s="340"/>
      <c r="W40" s="340"/>
      <c r="X40" s="340"/>
      <c r="Y40" s="340"/>
      <c r="Z40" s="339"/>
    </row>
    <row r="41" spans="1:26" ht="17.25" customHeight="1">
      <c r="A41" s="361"/>
      <c r="B41" s="340"/>
      <c r="C41" s="340"/>
      <c r="D41" s="340"/>
      <c r="E41" s="340"/>
      <c r="F41" s="340"/>
      <c r="G41" s="340"/>
      <c r="H41" s="340"/>
      <c r="I41" s="340"/>
      <c r="J41" s="340"/>
      <c r="K41" s="340"/>
      <c r="L41" s="340"/>
      <c r="M41" s="340"/>
      <c r="N41" s="340"/>
      <c r="O41" s="370"/>
      <c r="P41" s="340"/>
      <c r="Q41" s="340"/>
      <c r="R41" s="340"/>
      <c r="T41" s="340"/>
      <c r="U41" s="340"/>
      <c r="V41" s="340"/>
      <c r="W41" s="340"/>
      <c r="X41" s="340"/>
      <c r="Y41" s="340"/>
      <c r="Z41" s="339"/>
    </row>
    <row r="42" spans="1:26" ht="17.25" customHeight="1">
      <c r="A42" s="344"/>
      <c r="B42" s="340"/>
      <c r="C42" s="340"/>
      <c r="D42" s="340"/>
      <c r="E42" s="340"/>
      <c r="F42" s="340"/>
      <c r="G42" s="340"/>
      <c r="H42" s="340"/>
      <c r="I42" s="340"/>
      <c r="J42" s="340"/>
      <c r="K42" s="340"/>
      <c r="L42" s="340"/>
      <c r="M42" s="340"/>
      <c r="N42" s="340"/>
      <c r="O42" s="370"/>
      <c r="P42" s="340"/>
      <c r="Q42" s="340"/>
      <c r="R42" s="340"/>
      <c r="T42" s="340"/>
      <c r="U42" s="340"/>
      <c r="V42" s="340"/>
      <c r="W42" s="340"/>
      <c r="X42" s="340"/>
      <c r="Y42" s="340"/>
      <c r="Z42" s="339"/>
    </row>
    <row r="43" spans="1:26" ht="17.25" customHeight="1">
      <c r="D43" s="290">
        <f>'ANEXA 1'!B95</f>
        <v>0</v>
      </c>
      <c r="E43" s="290"/>
      <c r="F43" s="290"/>
      <c r="G43" s="340"/>
      <c r="H43" s="340"/>
      <c r="I43" s="340"/>
      <c r="J43" s="340"/>
      <c r="K43" s="358"/>
      <c r="L43" s="340"/>
      <c r="M43" s="340"/>
      <c r="N43" s="340"/>
      <c r="O43" s="370"/>
      <c r="P43" s="340"/>
      <c r="Q43" s="340"/>
      <c r="R43" s="340"/>
      <c r="T43" s="340"/>
      <c r="U43" s="340"/>
      <c r="V43" s="340"/>
      <c r="W43" s="340"/>
      <c r="X43" s="340"/>
      <c r="Y43" s="340"/>
      <c r="Z43" s="339"/>
    </row>
    <row r="44" spans="1:26">
      <c r="A44" s="4200" t="str">
        <f>+'ANEXA 1'!B94</f>
        <v>DIRECTOR  GENERAL,</v>
      </c>
      <c r="B44" s="4200"/>
      <c r="C44" s="4200"/>
      <c r="D44" s="4200"/>
      <c r="E44" s="4196">
        <f>+'ANEXA 1'!B99</f>
        <v>0</v>
      </c>
      <c r="F44" s="4196"/>
      <c r="G44" s="4196"/>
      <c r="H44" s="1606"/>
      <c r="I44" s="1606"/>
      <c r="J44" s="4194" t="str">
        <f>+'ANEXA 1'!D94</f>
        <v>DIRECTOR  EXECUTIV  ECONOMIC,</v>
      </c>
      <c r="K44" s="4194"/>
      <c r="L44" s="356"/>
      <c r="M44" s="4165">
        <f>'ANEXA 1'!D99</f>
        <v>0</v>
      </c>
      <c r="N44" s="4165"/>
      <c r="O44" s="4165"/>
      <c r="P44" s="340"/>
      <c r="Q44" s="340"/>
      <c r="R44" s="340"/>
      <c r="T44" s="340"/>
      <c r="U44" s="340"/>
      <c r="V44" s="340"/>
      <c r="W44" s="340"/>
      <c r="X44" s="340"/>
      <c r="Y44" s="340"/>
      <c r="Z44" s="339"/>
    </row>
    <row r="45" spans="1:26" ht="18" customHeight="1">
      <c r="E45" s="1568"/>
      <c r="F45" s="926"/>
      <c r="G45" s="1609"/>
      <c r="H45" s="1063"/>
      <c r="I45" s="1063"/>
      <c r="J45" s="1608"/>
      <c r="K45" s="1546"/>
      <c r="L45" s="340"/>
      <c r="M45" s="351"/>
      <c r="N45" s="351"/>
      <c r="O45" s="351"/>
      <c r="P45" s="340"/>
      <c r="Q45" s="340"/>
      <c r="R45" s="340"/>
      <c r="T45" s="340"/>
      <c r="U45" s="340"/>
      <c r="V45" s="340"/>
      <c r="W45" s="340"/>
      <c r="X45" s="340"/>
      <c r="Y45" s="340"/>
      <c r="Z45" s="339"/>
    </row>
    <row r="46" spans="1:26" ht="19.5" customHeight="1">
      <c r="A46" s="4200" t="str">
        <f>+'ANEXA 1'!B96</f>
        <v>EC.ALBU DRINA</v>
      </c>
      <c r="B46" s="4200"/>
      <c r="C46" s="4200"/>
      <c r="D46" s="4200"/>
      <c r="E46" s="4197">
        <f>+'ANEXA 1'!B101</f>
        <v>0</v>
      </c>
      <c r="F46" s="4197"/>
      <c r="G46" s="4197"/>
      <c r="H46" s="1607"/>
      <c r="I46" s="1607"/>
      <c r="J46" s="4195" t="str">
        <f>+'ANEXA 1'!D96</f>
        <v>EC.BIRCU FLORINA</v>
      </c>
      <c r="K46" s="4195"/>
      <c r="L46" s="359"/>
      <c r="M46" s="4165">
        <f>'ANEXA 1'!D101</f>
        <v>0</v>
      </c>
      <c r="N46" s="4165"/>
      <c r="O46" s="4165"/>
      <c r="P46" s="340"/>
      <c r="Q46" s="340"/>
      <c r="R46" s="340"/>
      <c r="T46" s="340"/>
      <c r="U46" s="340"/>
      <c r="V46" s="340"/>
      <c r="W46" s="340"/>
      <c r="X46" s="340"/>
      <c r="Y46" s="340"/>
      <c r="Z46" s="339"/>
    </row>
    <row r="47" spans="1:26" ht="17.25" customHeight="1">
      <c r="A47" s="4199">
        <f>'ANEXA 1'!B97</f>
        <v>0</v>
      </c>
      <c r="B47" s="4199"/>
      <c r="C47" s="4199"/>
      <c r="D47" s="4199"/>
      <c r="E47" s="340"/>
      <c r="F47" s="340"/>
      <c r="G47" s="340"/>
      <c r="H47" s="355"/>
      <c r="I47" s="355"/>
      <c r="J47" s="355"/>
      <c r="K47" s="355"/>
      <c r="L47" s="340"/>
      <c r="M47" s="316"/>
      <c r="N47" s="317"/>
      <c r="O47" s="315"/>
      <c r="P47" s="340"/>
      <c r="Q47" s="340"/>
      <c r="R47" s="340"/>
      <c r="T47" s="340"/>
      <c r="U47" s="340"/>
      <c r="V47" s="340"/>
      <c r="W47" s="340"/>
      <c r="X47" s="340"/>
      <c r="Y47" s="340"/>
      <c r="Z47" s="339"/>
    </row>
    <row r="48" spans="1:26" ht="15" customHeight="1">
      <c r="A48" s="340"/>
      <c r="B48" s="340"/>
      <c r="C48" s="340"/>
      <c r="D48" s="340"/>
      <c r="E48" s="340"/>
      <c r="F48" s="340"/>
      <c r="G48" s="340"/>
      <c r="H48" s="340"/>
      <c r="I48" s="340"/>
      <c r="J48" s="340"/>
      <c r="K48" s="340"/>
      <c r="L48" s="340"/>
      <c r="P48" s="340"/>
      <c r="Q48" s="340"/>
      <c r="R48" s="340"/>
      <c r="T48" s="340"/>
      <c r="U48" s="340"/>
      <c r="V48" s="340"/>
      <c r="W48" s="340"/>
      <c r="X48" s="340"/>
      <c r="Y48" s="340"/>
      <c r="Z48" s="339"/>
    </row>
    <row r="49" ht="14.25" customHeight="1"/>
    <row r="51" ht="27"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sheetProtection password="CF1D" sheet="1" objects="1" scenarios="1"/>
  <mergeCells count="33">
    <mergeCell ref="A4:O4"/>
    <mergeCell ref="A5:O5"/>
    <mergeCell ref="A9:A16"/>
    <mergeCell ref="B9:B16"/>
    <mergeCell ref="C9:I9"/>
    <mergeCell ref="M12:M16"/>
    <mergeCell ref="N12:N16"/>
    <mergeCell ref="O12:O14"/>
    <mergeCell ref="H11:H16"/>
    <mergeCell ref="I11:I16"/>
    <mergeCell ref="K12:K16"/>
    <mergeCell ref="L12:L16"/>
    <mergeCell ref="A47:D47"/>
    <mergeCell ref="A44:D44"/>
    <mergeCell ref="A46:D46"/>
    <mergeCell ref="M44:O44"/>
    <mergeCell ref="P12:P14"/>
    <mergeCell ref="C10:C16"/>
    <mergeCell ref="D10:I10"/>
    <mergeCell ref="D11:D16"/>
    <mergeCell ref="E11:E14"/>
    <mergeCell ref="F11:F16"/>
    <mergeCell ref="G11:G16"/>
    <mergeCell ref="M46:O46"/>
    <mergeCell ref="J9:J16"/>
    <mergeCell ref="K9:N11"/>
    <mergeCell ref="O9:Q11"/>
    <mergeCell ref="Q12:Q14"/>
    <mergeCell ref="J44:K44"/>
    <mergeCell ref="J46:K46"/>
    <mergeCell ref="E44:G44"/>
    <mergeCell ref="E46:G46"/>
    <mergeCell ref="A39:N39"/>
  </mergeCells>
  <phoneticPr fontId="0" type="noConversion"/>
  <dataValidations count="1">
    <dataValidation type="whole" allowBlank="1" showErrorMessage="1" sqref="O39 P37:Q38 C18:O38">
      <formula1>-9.99999999999999E+28</formula1>
      <formula2>9.99999999999999E+28</formula2>
    </dataValidation>
  </dataValidations>
  <printOptions horizontalCentered="1" verticalCentered="1"/>
  <pageMargins left="0.23622047244094491" right="7.874015748031496E-2" top="0.51181102362204722" bottom="0.27559055118110237" header="0.51181102362204722" footer="0.51181102362204722"/>
  <pageSetup paperSize="9" scale="56"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2"/>
  <dimension ref="A1:L67"/>
  <sheetViews>
    <sheetView showZeros="0" workbookViewId="0">
      <selection activeCell="H10" sqref="H10"/>
    </sheetView>
  </sheetViews>
  <sheetFormatPr defaultColWidth="9.140625" defaultRowHeight="18"/>
  <cols>
    <col min="1" max="1" width="4.5703125" style="1" customWidth="1"/>
    <col min="2" max="2" width="58.7109375" style="1" customWidth="1"/>
    <col min="3" max="3" width="8.7109375" style="2" customWidth="1"/>
    <col min="4" max="4" width="19.5703125" style="6" customWidth="1"/>
    <col min="5" max="5" width="20.5703125" style="6" customWidth="1"/>
    <col min="6" max="6" width="13.7109375" style="5" customWidth="1"/>
    <col min="7" max="7" width="12.5703125" style="34" customWidth="1"/>
    <col min="8" max="8" width="10" style="1" customWidth="1"/>
    <col min="9" max="11" width="16.5703125" style="1" customWidth="1"/>
    <col min="12" max="16384" width="9.140625" style="1"/>
  </cols>
  <sheetData>
    <row r="1" spans="1:12">
      <c r="A1" s="3989" t="str">
        <f>'ANEXA 1'!A1</f>
        <v>CASA  DE  ASIGURĂRI  DE  SĂNĂTATE MEHEDINTI</v>
      </c>
      <c r="B1" s="3989"/>
      <c r="C1" s="3989"/>
      <c r="D1" s="3989"/>
      <c r="E1" s="3989"/>
      <c r="F1" s="35"/>
    </row>
    <row r="2" spans="1:12" ht="11.25" customHeight="1">
      <c r="A2" s="36"/>
    </row>
    <row r="3" spans="1:12">
      <c r="A3" s="3990" t="s">
        <v>2202</v>
      </c>
      <c r="B3" s="3990"/>
      <c r="C3" s="3990"/>
      <c r="D3" s="3990"/>
      <c r="E3" s="3990"/>
      <c r="F3" s="37"/>
    </row>
    <row r="4" spans="1:12" ht="15.75">
      <c r="A4" s="3978" t="str">
        <f>'ANEXA 1'!A12</f>
        <v>la  data  de  30  IUNIE  2023</v>
      </c>
      <c r="B4" s="3978"/>
      <c r="C4" s="3978"/>
      <c r="D4" s="3978"/>
      <c r="E4" s="3978"/>
      <c r="F4" s="980"/>
      <c r="G4" s="38"/>
    </row>
    <row r="5" spans="1:12" ht="13.5" customHeight="1">
      <c r="A5" s="39" t="s">
        <v>178</v>
      </c>
      <c r="E5" s="40" t="s">
        <v>179</v>
      </c>
      <c r="F5" s="41"/>
      <c r="L5" s="42"/>
    </row>
    <row r="6" spans="1:12" ht="19.5" customHeight="1">
      <c r="A6" s="3991" t="s">
        <v>180</v>
      </c>
      <c r="B6" s="3993" t="s">
        <v>181</v>
      </c>
      <c r="C6" s="3995" t="s">
        <v>89</v>
      </c>
      <c r="D6" s="3997" t="s">
        <v>182</v>
      </c>
      <c r="E6" s="3999" t="s">
        <v>183</v>
      </c>
      <c r="F6" s="43"/>
    </row>
    <row r="7" spans="1:12">
      <c r="A7" s="3992"/>
      <c r="B7" s="3994"/>
      <c r="C7" s="3996"/>
      <c r="D7" s="3998"/>
      <c r="E7" s="4000"/>
      <c r="F7" s="43"/>
    </row>
    <row r="8" spans="1:12" ht="14.25" customHeight="1">
      <c r="A8" s="2614" t="s">
        <v>92</v>
      </c>
      <c r="B8" s="2605" t="s">
        <v>93</v>
      </c>
      <c r="C8" s="2582" t="s">
        <v>94</v>
      </c>
      <c r="D8" s="44">
        <v>1</v>
      </c>
      <c r="E8" s="2583">
        <v>2</v>
      </c>
      <c r="F8" s="45"/>
    </row>
    <row r="9" spans="1:12">
      <c r="A9" s="2615" t="s">
        <v>184</v>
      </c>
      <c r="B9" s="2606" t="s">
        <v>185</v>
      </c>
      <c r="C9" s="46" t="s">
        <v>96</v>
      </c>
      <c r="D9" s="2584"/>
      <c r="E9" s="2585"/>
      <c r="F9" s="47"/>
      <c r="H9" s="48"/>
    </row>
    <row r="10" spans="1:12" ht="112.15" customHeight="1">
      <c r="A10" s="2616" t="s">
        <v>99</v>
      </c>
      <c r="B10" s="2607" t="s">
        <v>2142</v>
      </c>
      <c r="C10" s="2586" t="s">
        <v>98</v>
      </c>
      <c r="D10" s="2587">
        <v>97391422</v>
      </c>
      <c r="E10" s="2588">
        <f>+'ANEXA 2 SOLDURI'!B10</f>
        <v>103897541</v>
      </c>
      <c r="F10" s="49"/>
      <c r="H10" s="48"/>
      <c r="I10" s="23"/>
      <c r="J10" s="23"/>
      <c r="K10" s="23"/>
      <c r="L10" s="50"/>
    </row>
    <row r="11" spans="1:12" ht="29.25">
      <c r="A11" s="2616" t="s">
        <v>101</v>
      </c>
      <c r="B11" s="2607" t="s">
        <v>186</v>
      </c>
      <c r="C11" s="2586" t="s">
        <v>100</v>
      </c>
      <c r="D11" s="2587"/>
      <c r="E11" s="2588"/>
      <c r="F11" s="49"/>
      <c r="H11" s="48"/>
      <c r="I11" s="23"/>
      <c r="J11" s="23"/>
      <c r="K11" s="23"/>
      <c r="L11" s="50"/>
    </row>
    <row r="12" spans="1:12" ht="45.75" customHeight="1">
      <c r="A12" s="2616" t="s">
        <v>103</v>
      </c>
      <c r="B12" s="2607" t="s">
        <v>1959</v>
      </c>
      <c r="C12" s="2586" t="s">
        <v>102</v>
      </c>
      <c r="D12" s="2587">
        <v>43141104</v>
      </c>
      <c r="E12" s="2588">
        <f>+'ANEXA 2 SOLDURI'!B15</f>
        <v>27690580</v>
      </c>
      <c r="F12" s="49"/>
      <c r="H12" s="48"/>
      <c r="I12" s="23"/>
      <c r="J12" s="23"/>
      <c r="K12" s="23"/>
      <c r="L12" s="50"/>
    </row>
    <row r="13" spans="1:12" ht="57.75">
      <c r="A13" s="2616" t="s">
        <v>105</v>
      </c>
      <c r="B13" s="2607" t="s">
        <v>2143</v>
      </c>
      <c r="C13" s="2586" t="s">
        <v>104</v>
      </c>
      <c r="D13" s="2587">
        <v>4714503</v>
      </c>
      <c r="E13" s="2588">
        <f>+'ANEXA 2 SOLDURI'!B23</f>
        <v>1306817</v>
      </c>
      <c r="F13" s="49"/>
      <c r="H13" s="48"/>
      <c r="I13" s="23"/>
      <c r="J13" s="23"/>
      <c r="K13" s="23"/>
      <c r="L13" s="50"/>
    </row>
    <row r="14" spans="1:12">
      <c r="A14" s="2617"/>
      <c r="B14" s="2608" t="s">
        <v>187</v>
      </c>
      <c r="C14" s="2589" t="s">
        <v>107</v>
      </c>
      <c r="D14" s="2590">
        <f>D10+D11+D12+D13</f>
        <v>145247029</v>
      </c>
      <c r="E14" s="2591">
        <f>E10+E11+E12+E13</f>
        <v>132894938</v>
      </c>
      <c r="F14" s="51"/>
      <c r="H14" s="48"/>
      <c r="I14" s="23"/>
      <c r="J14" s="23"/>
      <c r="K14" s="23"/>
      <c r="L14" s="50"/>
    </row>
    <row r="15" spans="1:12">
      <c r="A15" s="2618" t="s">
        <v>188</v>
      </c>
      <c r="B15" s="2608" t="s">
        <v>189</v>
      </c>
      <c r="C15" s="2586" t="s">
        <v>110</v>
      </c>
      <c r="D15" s="2592"/>
      <c r="E15" s="2588"/>
      <c r="F15" s="52"/>
      <c r="H15" s="48"/>
      <c r="I15" s="23"/>
      <c r="J15" s="23"/>
      <c r="K15" s="23"/>
      <c r="L15" s="50"/>
    </row>
    <row r="16" spans="1:12" ht="60.75" customHeight="1">
      <c r="A16" s="2616" t="s">
        <v>99</v>
      </c>
      <c r="B16" s="2607" t="s">
        <v>1964</v>
      </c>
      <c r="C16" s="2586" t="s">
        <v>112</v>
      </c>
      <c r="D16" s="2587">
        <v>2465975</v>
      </c>
      <c r="E16" s="2588">
        <f>+'ANEXA 2 SOLDURI'!B39</f>
        <v>2490913</v>
      </c>
      <c r="F16" s="49"/>
      <c r="H16" s="48"/>
      <c r="I16" s="23"/>
      <c r="J16" s="23"/>
      <c r="K16" s="23"/>
      <c r="L16" s="50"/>
    </row>
    <row r="17" spans="1:12" ht="43.5">
      <c r="A17" s="2616" t="s">
        <v>101</v>
      </c>
      <c r="B17" s="2607" t="s">
        <v>190</v>
      </c>
      <c r="C17" s="2586" t="s">
        <v>114</v>
      </c>
      <c r="D17" s="2587">
        <v>80185699</v>
      </c>
      <c r="E17" s="2588">
        <f>+'ANEXA 2 SOLDURI'!B52</f>
        <v>69884301</v>
      </c>
      <c r="F17" s="49"/>
      <c r="H17" s="48"/>
      <c r="I17" s="23"/>
      <c r="J17" s="23"/>
      <c r="K17" s="23"/>
      <c r="L17" s="50"/>
    </row>
    <row r="18" spans="1:12" ht="101.25">
      <c r="A18" s="2616" t="s">
        <v>103</v>
      </c>
      <c r="B18" s="2607" t="s">
        <v>2125</v>
      </c>
      <c r="C18" s="2586">
        <v>10</v>
      </c>
      <c r="D18" s="2587">
        <v>141395026</v>
      </c>
      <c r="E18" s="2588">
        <f>+'ANEXA 2 SOLDURI'!B56</f>
        <v>134438007</v>
      </c>
      <c r="F18" s="49"/>
      <c r="H18" s="48"/>
      <c r="I18" s="23"/>
      <c r="J18" s="23"/>
      <c r="K18" s="23"/>
      <c r="L18" s="50"/>
    </row>
    <row r="19" spans="1:12" ht="43.5">
      <c r="A19" s="2616" t="s">
        <v>105</v>
      </c>
      <c r="B19" s="2607" t="s">
        <v>2144</v>
      </c>
      <c r="C19" s="2586">
        <v>11</v>
      </c>
      <c r="D19" s="2587">
        <v>4839079</v>
      </c>
      <c r="E19" s="2588">
        <f>+'ANEXA 2 SOLDURI'!B74</f>
        <v>2814030</v>
      </c>
      <c r="F19" s="49"/>
      <c r="H19" s="48"/>
      <c r="I19" s="23"/>
      <c r="J19" s="23"/>
      <c r="K19" s="23"/>
      <c r="L19" s="50"/>
    </row>
    <row r="20" spans="1:12" ht="29.25">
      <c r="A20" s="2616" t="s">
        <v>108</v>
      </c>
      <c r="B20" s="2607" t="s">
        <v>1960</v>
      </c>
      <c r="C20" s="2586">
        <v>12</v>
      </c>
      <c r="D20" s="2587"/>
      <c r="E20" s="2588">
        <f>+'ANEXA 2 SOLDURI'!B80</f>
        <v>0</v>
      </c>
      <c r="F20" s="49"/>
      <c r="H20" s="48"/>
      <c r="I20" s="23"/>
      <c r="J20" s="23"/>
      <c r="K20" s="23"/>
      <c r="L20" s="50"/>
    </row>
    <row r="21" spans="1:12">
      <c r="A21" s="2619"/>
      <c r="B21" s="2609" t="s">
        <v>191</v>
      </c>
      <c r="C21" s="2589">
        <v>13</v>
      </c>
      <c r="D21" s="2590">
        <f>D16+D17+D18+D19+D20</f>
        <v>228885779</v>
      </c>
      <c r="E21" s="2591">
        <f>E16+E17+E18+E19+E20</f>
        <v>209627251</v>
      </c>
      <c r="F21" s="51"/>
      <c r="H21" s="48"/>
      <c r="I21" s="23"/>
      <c r="J21" s="23"/>
      <c r="K21" s="23"/>
      <c r="L21" s="50"/>
    </row>
    <row r="22" spans="1:12">
      <c r="A22" s="2620" t="s">
        <v>192</v>
      </c>
      <c r="B22" s="2608" t="s">
        <v>193</v>
      </c>
      <c r="C22" s="2586">
        <v>14</v>
      </c>
      <c r="D22" s="2593"/>
      <c r="E22" s="2594"/>
      <c r="F22" s="53"/>
      <c r="H22" s="48"/>
      <c r="I22" s="23"/>
      <c r="J22" s="23"/>
      <c r="K22" s="23"/>
      <c r="L22" s="50"/>
    </row>
    <row r="23" spans="1:12">
      <c r="A23" s="2619"/>
      <c r="B23" s="2610" t="s">
        <v>194</v>
      </c>
      <c r="C23" s="2586">
        <v>15</v>
      </c>
      <c r="D23" s="2592">
        <f>IF(ROUND(D14-D21,1)&gt;=0,ROUND(D14-D21,1),0)</f>
        <v>0</v>
      </c>
      <c r="E23" s="2588">
        <f>IF(ROUND(E14-E21,1)&gt;=0,ROUND(E14-E21,1),0)</f>
        <v>0</v>
      </c>
      <c r="F23" s="52"/>
      <c r="H23" s="48"/>
      <c r="I23" s="23"/>
      <c r="J23" s="23"/>
      <c r="K23" s="23"/>
      <c r="L23" s="50"/>
    </row>
    <row r="24" spans="1:12">
      <c r="A24" s="2619"/>
      <c r="B24" s="2610" t="s">
        <v>195</v>
      </c>
      <c r="C24" s="2586">
        <v>16</v>
      </c>
      <c r="D24" s="2592">
        <f>IF(ROUND(D21-D14,1)&gt;=0,ROUND(D21-D14,1),0)</f>
        <v>83638750</v>
      </c>
      <c r="E24" s="2588">
        <f>IF(ROUND(E21-E14,1)&gt;=0,ROUND(E21-E14,1),0)</f>
        <v>76732313</v>
      </c>
      <c r="F24" s="52"/>
      <c r="H24" s="48"/>
      <c r="I24" s="23"/>
      <c r="J24" s="23"/>
      <c r="K24" s="23"/>
      <c r="L24" s="50"/>
    </row>
    <row r="25" spans="1:12" ht="43.5">
      <c r="A25" s="2621" t="s">
        <v>196</v>
      </c>
      <c r="B25" s="2607" t="s">
        <v>197</v>
      </c>
      <c r="C25" s="2589">
        <v>17</v>
      </c>
      <c r="D25" s="2595"/>
      <c r="E25" s="2591">
        <f>+'ANEXA 2 SOLDURI'!B30</f>
        <v>0</v>
      </c>
      <c r="F25" s="54"/>
      <c r="H25" s="48"/>
      <c r="I25" s="23"/>
      <c r="J25" s="23"/>
      <c r="K25" s="23"/>
      <c r="L25" s="50"/>
    </row>
    <row r="26" spans="1:12" ht="43.5">
      <c r="A26" s="2621" t="s">
        <v>198</v>
      </c>
      <c r="B26" s="2607" t="s">
        <v>199</v>
      </c>
      <c r="C26" s="2589">
        <v>18</v>
      </c>
      <c r="D26" s="2595"/>
      <c r="E26" s="2591">
        <f>+'ANEXA 2 SOLDURI'!B85</f>
        <v>0</v>
      </c>
      <c r="F26" s="54"/>
      <c r="H26" s="48"/>
      <c r="I26" s="23"/>
      <c r="J26" s="23"/>
      <c r="K26" s="23"/>
      <c r="L26" s="50"/>
    </row>
    <row r="27" spans="1:12">
      <c r="A27" s="2622" t="s">
        <v>200</v>
      </c>
      <c r="B27" s="2611" t="s">
        <v>201</v>
      </c>
      <c r="C27" s="2586">
        <v>19</v>
      </c>
      <c r="D27" s="2592"/>
      <c r="E27" s="2588"/>
      <c r="F27" s="52"/>
      <c r="H27" s="48"/>
      <c r="I27" s="23"/>
      <c r="J27" s="23"/>
      <c r="K27" s="23"/>
      <c r="L27" s="50"/>
    </row>
    <row r="28" spans="1:12">
      <c r="A28" s="2619"/>
      <c r="B28" s="2610" t="s">
        <v>202</v>
      </c>
      <c r="C28" s="2586">
        <v>20</v>
      </c>
      <c r="D28" s="2592"/>
      <c r="E28" s="2588">
        <f>IF(ROUND(E25-E26,1)&gt;=0,ROUND(E25-E26,1),0)</f>
        <v>0</v>
      </c>
      <c r="F28" s="52"/>
      <c r="H28" s="48"/>
      <c r="I28" s="23"/>
      <c r="J28" s="23"/>
      <c r="K28" s="23"/>
      <c r="L28" s="50"/>
    </row>
    <row r="29" spans="1:12">
      <c r="A29" s="2619"/>
      <c r="B29" s="2610" t="s">
        <v>203</v>
      </c>
      <c r="C29" s="2586">
        <v>21</v>
      </c>
      <c r="D29" s="2592">
        <f>IF(ROUND(D26-D25,1)&gt;=0,ROUND(D26-D25,1),0)</f>
        <v>0</v>
      </c>
      <c r="E29" s="2588">
        <f>IF(ROUND(E26-E25,1)&gt;=0,ROUND(E26-E25,1),0)</f>
        <v>0</v>
      </c>
      <c r="F29" s="52"/>
      <c r="H29" s="48"/>
      <c r="I29" s="23"/>
      <c r="J29" s="23"/>
      <c r="K29" s="23"/>
      <c r="L29" s="50"/>
    </row>
    <row r="30" spans="1:12">
      <c r="A30" s="2621" t="s">
        <v>204</v>
      </c>
      <c r="B30" s="2608" t="s">
        <v>205</v>
      </c>
      <c r="C30" s="2586">
        <v>22</v>
      </c>
      <c r="D30" s="2592"/>
      <c r="E30" s="2588"/>
      <c r="F30" s="52"/>
      <c r="H30" s="48"/>
      <c r="I30" s="23"/>
      <c r="J30" s="23"/>
      <c r="K30" s="23"/>
      <c r="L30" s="50"/>
    </row>
    <row r="31" spans="1:12">
      <c r="A31" s="2623"/>
      <c r="B31" s="2612" t="s">
        <v>206</v>
      </c>
      <c r="C31" s="2599">
        <v>23</v>
      </c>
      <c r="D31" s="2600">
        <f>IF(ROUND(D23+D28-D24-D29,1)&gt;=0,ROUND(D23+D28-D24-D29,1),0)</f>
        <v>0</v>
      </c>
      <c r="E31" s="2601">
        <f>IF(ROUND(E23+E28-E24-E29,1)&gt;=0,ROUND(E23+E28-E24-E29,1),0)</f>
        <v>0</v>
      </c>
      <c r="F31" s="52"/>
      <c r="H31" s="48"/>
      <c r="I31" s="23"/>
      <c r="J31" s="23"/>
      <c r="K31" s="23"/>
      <c r="L31" s="50"/>
    </row>
    <row r="32" spans="1:12">
      <c r="A32" s="2624"/>
      <c r="B32" s="2613" t="s">
        <v>207</v>
      </c>
      <c r="C32" s="2602">
        <v>24</v>
      </c>
      <c r="D32" s="2603">
        <f>IF(ROUND(D24+D29-D23-D28,1)&gt;=0,ROUND(D24+D29-D23-D28,1),0)</f>
        <v>83638750</v>
      </c>
      <c r="E32" s="2604">
        <f>IF(ROUND(E24+E29-E23-E28,1)&gt;=0,ROUND(E24+E29-E23-E28,1),0)</f>
        <v>76732313</v>
      </c>
      <c r="F32" s="52"/>
      <c r="H32" s="48"/>
      <c r="I32" s="23"/>
      <c r="J32" s="23"/>
      <c r="K32" s="23"/>
      <c r="L32" s="50"/>
    </row>
    <row r="33" spans="1:12" ht="29.25">
      <c r="A33" s="2621" t="s">
        <v>208</v>
      </c>
      <c r="B33" s="2607" t="s">
        <v>209</v>
      </c>
      <c r="C33" s="2589">
        <v>25</v>
      </c>
      <c r="D33" s="2595"/>
      <c r="E33" s="2596">
        <f>'ANEXA 2 SOLDURI'!B35</f>
        <v>0</v>
      </c>
      <c r="F33" s="54"/>
      <c r="H33" s="48"/>
      <c r="I33" s="23"/>
      <c r="J33" s="23"/>
      <c r="K33" s="23"/>
      <c r="L33" s="50"/>
    </row>
    <row r="34" spans="1:12" ht="29.25">
      <c r="A34" s="2621" t="s">
        <v>210</v>
      </c>
      <c r="B34" s="2607" t="s">
        <v>211</v>
      </c>
      <c r="C34" s="2589">
        <v>26</v>
      </c>
      <c r="D34" s="2595"/>
      <c r="E34" s="2596">
        <f>+'ANEXA 2 SOLDURI'!B92</f>
        <v>0</v>
      </c>
      <c r="F34" s="54"/>
      <c r="H34" s="48"/>
      <c r="I34" s="23"/>
      <c r="J34" s="23"/>
      <c r="K34" s="23"/>
      <c r="L34" s="50"/>
    </row>
    <row r="35" spans="1:12">
      <c r="A35" s="2621" t="s">
        <v>212</v>
      </c>
      <c r="B35" s="2608" t="s">
        <v>213</v>
      </c>
      <c r="C35" s="2586">
        <v>27</v>
      </c>
      <c r="D35" s="2592"/>
      <c r="E35" s="2588"/>
      <c r="F35" s="52"/>
      <c r="H35" s="48"/>
      <c r="I35" s="23"/>
      <c r="J35" s="23"/>
      <c r="K35" s="23"/>
      <c r="L35" s="50"/>
    </row>
    <row r="36" spans="1:12">
      <c r="A36" s="2616"/>
      <c r="B36" s="2610" t="s">
        <v>214</v>
      </c>
      <c r="C36" s="2586">
        <v>28</v>
      </c>
      <c r="D36" s="2597">
        <f>IF(ROUND(D33-D34,1)&gt;=0,ROUND(D33-D34,1),0)</f>
        <v>0</v>
      </c>
      <c r="E36" s="2588">
        <f>IF(ROUND(E33-E34,1)&gt;=0,ROUND(E33-E34,1),0)</f>
        <v>0</v>
      </c>
      <c r="F36" s="55"/>
      <c r="H36" s="48"/>
      <c r="I36" s="23"/>
      <c r="J36" s="23"/>
      <c r="K36" s="23"/>
      <c r="L36" s="50"/>
    </row>
    <row r="37" spans="1:12">
      <c r="A37" s="2616"/>
      <c r="B37" s="2610" t="s">
        <v>215</v>
      </c>
      <c r="C37" s="2586">
        <v>29</v>
      </c>
      <c r="D37" s="2597">
        <f>IF(ROUND(D34-D33,1)&gt;=0,ROUND(D34-D33,1),0)</f>
        <v>0</v>
      </c>
      <c r="E37" s="2588">
        <f>IF(ROUND(E34-E33,1)&gt;=0,ROUND(E34-E33,1),0)</f>
        <v>0</v>
      </c>
      <c r="F37" s="55"/>
      <c r="H37" s="48"/>
      <c r="I37" s="23"/>
      <c r="J37" s="23"/>
      <c r="K37" s="23"/>
      <c r="L37" s="50"/>
    </row>
    <row r="38" spans="1:12">
      <c r="A38" s="2616" t="s">
        <v>216</v>
      </c>
      <c r="B38" s="2610" t="s">
        <v>217</v>
      </c>
      <c r="C38" s="2598" t="s">
        <v>218</v>
      </c>
      <c r="D38" s="2597"/>
      <c r="E38" s="2588"/>
      <c r="F38" s="55"/>
      <c r="H38" s="48"/>
      <c r="I38" s="23"/>
      <c r="J38" s="23"/>
      <c r="K38" s="23"/>
      <c r="L38" s="50"/>
    </row>
    <row r="39" spans="1:12">
      <c r="A39" s="2616"/>
      <c r="B39" s="2610" t="s">
        <v>219</v>
      </c>
      <c r="C39" s="2598" t="s">
        <v>220</v>
      </c>
      <c r="D39" s="2592">
        <f>IF(ROUND(D31+D36-D32-D37,1)&gt;=0,ROUND(D31+D36-D32-D37,1),0)</f>
        <v>0</v>
      </c>
      <c r="E39" s="2588">
        <f>IF(ROUND(E31+E36-E32-E37,1)&gt;=0,ROUND(E31+E36-E32-E37,1),0)</f>
        <v>0</v>
      </c>
      <c r="F39" s="55"/>
      <c r="H39" s="48"/>
      <c r="I39" s="23"/>
      <c r="J39" s="23"/>
      <c r="K39" s="23"/>
      <c r="L39" s="50"/>
    </row>
    <row r="40" spans="1:12">
      <c r="A40" s="2616"/>
      <c r="B40" s="2610" t="s">
        <v>221</v>
      </c>
      <c r="C40" s="2598" t="s">
        <v>222</v>
      </c>
      <c r="D40" s="2592">
        <f>IF(ROUND(D32+D37-D31-D36,1)&gt;=0,ROUND(D32+D37-D31-D36,1),0)</f>
        <v>83638750</v>
      </c>
      <c r="E40" s="2588">
        <f>IF(ROUND(E32+E37-E31-E36,1)&gt;=0,ROUND(E32+E37-E31-E36,1),0)</f>
        <v>76732313</v>
      </c>
      <c r="F40" s="55"/>
      <c r="H40" s="48"/>
      <c r="I40" s="23"/>
      <c r="J40" s="23"/>
      <c r="K40" s="23"/>
      <c r="L40" s="50"/>
    </row>
    <row r="41" spans="1:12">
      <c r="A41" s="2616"/>
      <c r="B41" s="2610" t="s">
        <v>2145</v>
      </c>
      <c r="C41" s="2598" t="s">
        <v>223</v>
      </c>
      <c r="D41" s="2592"/>
      <c r="E41" s="2588"/>
      <c r="F41" s="55"/>
      <c r="H41" s="48"/>
      <c r="I41" s="23"/>
      <c r="J41" s="23"/>
      <c r="K41" s="23"/>
      <c r="L41" s="50"/>
    </row>
    <row r="42" spans="1:12">
      <c r="A42" s="2621" t="s">
        <v>224</v>
      </c>
      <c r="B42" s="2608" t="s">
        <v>225</v>
      </c>
      <c r="C42" s="2586">
        <v>30</v>
      </c>
      <c r="D42" s="2592"/>
      <c r="E42" s="2588"/>
      <c r="F42" s="55"/>
      <c r="H42" s="48"/>
      <c r="I42" s="23"/>
      <c r="J42" s="23"/>
      <c r="K42" s="23"/>
      <c r="L42" s="50"/>
    </row>
    <row r="43" spans="1:12">
      <c r="A43" s="2619"/>
      <c r="B43" s="2610" t="s">
        <v>226</v>
      </c>
      <c r="C43" s="2586">
        <v>31</v>
      </c>
      <c r="D43" s="2592">
        <f>+D39-D41</f>
        <v>0</v>
      </c>
      <c r="E43" s="2588">
        <f>+E39-E41</f>
        <v>0</v>
      </c>
      <c r="F43" s="3043" t="str">
        <f>IF(D43&lt;&gt;'ANEXA 1'!D87,"eroare"," ")</f>
        <v xml:space="preserve"> </v>
      </c>
      <c r="G43" s="1471" t="str">
        <f>IF(E43&lt;&gt;'ANEXA 1'!E87,"eroare"," ")</f>
        <v xml:space="preserve"> </v>
      </c>
      <c r="I43" s="23"/>
      <c r="J43" s="23"/>
      <c r="K43" s="23"/>
      <c r="L43" s="50"/>
    </row>
    <row r="44" spans="1:12" ht="22.9" customHeight="1">
      <c r="A44" s="2623"/>
      <c r="B44" s="2612" t="s">
        <v>227</v>
      </c>
      <c r="C44" s="2599">
        <v>32</v>
      </c>
      <c r="D44" s="2600">
        <f>+D40+D41</f>
        <v>83638750</v>
      </c>
      <c r="E44" s="2601">
        <f>+E40+E41</f>
        <v>76732313</v>
      </c>
      <c r="F44" s="3043" t="str">
        <f>IF(D44&lt;&gt;'ANEXA 1'!D88,"eroare"," ")</f>
        <v>eroare</v>
      </c>
      <c r="G44" s="1471" t="str">
        <f>IF(E44&lt;&gt;'ANEXA 1'!E88,"eroare"," ")</f>
        <v xml:space="preserve"> </v>
      </c>
      <c r="I44" s="23"/>
      <c r="J44" s="23"/>
      <c r="K44" s="23"/>
      <c r="L44" s="50"/>
    </row>
    <row r="45" spans="1:12">
      <c r="A45" s="56"/>
      <c r="B45" s="1473" t="s">
        <v>2114</v>
      </c>
      <c r="C45" s="1473"/>
      <c r="D45" s="1474" t="str">
        <f>IF(D43+D44=0,"eroare"," ")</f>
        <v xml:space="preserve"> </v>
      </c>
      <c r="E45" s="1473"/>
      <c r="F45" s="58"/>
      <c r="H45" s="48"/>
    </row>
    <row r="46" spans="1:12">
      <c r="A46" s="56"/>
      <c r="B46" s="4004" t="s">
        <v>2115</v>
      </c>
      <c r="C46" s="4004"/>
      <c r="D46" s="4004"/>
      <c r="E46" s="4004"/>
      <c r="F46" s="60"/>
      <c r="H46" s="48"/>
    </row>
    <row r="47" spans="1:12">
      <c r="A47" s="61"/>
      <c r="B47" s="37"/>
      <c r="F47" s="62"/>
      <c r="H47" s="48"/>
    </row>
    <row r="48" spans="1:12">
      <c r="A48" s="63"/>
      <c r="B48" s="64"/>
      <c r="F48" s="65"/>
    </row>
    <row r="49" spans="1:7">
      <c r="A49" s="63"/>
      <c r="B49" s="37"/>
      <c r="F49" s="66"/>
    </row>
    <row r="50" spans="1:7" ht="15.75" customHeight="1">
      <c r="A50" s="63"/>
      <c r="B50" s="37" t="str">
        <f>'ANEXA 1'!B94</f>
        <v>DIRECTOR  GENERAL,</v>
      </c>
      <c r="C50" s="67"/>
      <c r="D50" s="4003" t="str">
        <f>'ANEXA 1'!D94:E94</f>
        <v>DIRECTOR  EXECUTIV  ECONOMIC,</v>
      </c>
      <c r="E50" s="4003"/>
      <c r="F50" s="66"/>
      <c r="G50" s="68"/>
    </row>
    <row r="51" spans="1:7" ht="15.75" customHeight="1">
      <c r="D51" s="1583"/>
      <c r="E51" s="1583"/>
    </row>
    <row r="52" spans="1:7" ht="15.75" customHeight="1">
      <c r="B52" s="33" t="str">
        <f>'ANEXA 1'!B96</f>
        <v>EC.ALBU DRINA</v>
      </c>
      <c r="D52" s="4002" t="str">
        <f>'ANEXA 1'!D96:E96</f>
        <v>EC.BIRCU FLORINA</v>
      </c>
      <c r="E52" s="4002"/>
    </row>
    <row r="53" spans="1:7" ht="15.75" customHeight="1">
      <c r="B53" s="1055">
        <f>'ANEXA 1'!B97</f>
        <v>0</v>
      </c>
    </row>
    <row r="54" spans="1:7" ht="15.75" customHeight="1"/>
    <row r="55" spans="1:7" ht="15.75" customHeight="1"/>
    <row r="56" spans="1:7" ht="15.75" customHeight="1">
      <c r="B56" s="1563">
        <f>+'ANEXA 1'!B99</f>
        <v>0</v>
      </c>
      <c r="D56" s="4001">
        <f>+'ANEXA 1'!D99</f>
        <v>0</v>
      </c>
      <c r="E56" s="4001"/>
    </row>
    <row r="57" spans="1:7" ht="13.5" customHeight="1">
      <c r="B57" s="1565"/>
      <c r="D57" s="1558"/>
      <c r="E57" s="1582"/>
    </row>
    <row r="58" spans="1:7" ht="15.75" customHeight="1">
      <c r="B58" s="1565">
        <f>+'ANEXA 1'!B101</f>
        <v>0</v>
      </c>
      <c r="D58" s="4001">
        <f>+'ANEXA 1'!D101</f>
        <v>0</v>
      </c>
      <c r="E58" s="4001"/>
    </row>
    <row r="59" spans="1:7" ht="15.75" customHeight="1">
      <c r="D59" s="1059"/>
    </row>
    <row r="60" spans="1:7" ht="15.75" customHeight="1"/>
    <row r="61" spans="1:7" ht="15.75" customHeight="1"/>
    <row r="63" spans="1:7" ht="15.75" customHeight="1"/>
    <row r="65" s="1" customFormat="1" ht="12.75"/>
    <row r="66" s="1" customFormat="1" ht="12.75"/>
    <row r="67" s="1" customFormat="1" ht="12.75"/>
  </sheetData>
  <sheetProtection password="CFDD" sheet="1" objects="1" scenarios="1"/>
  <mergeCells count="13">
    <mergeCell ref="D56:E56"/>
    <mergeCell ref="D58:E58"/>
    <mergeCell ref="D52:E52"/>
    <mergeCell ref="D50:E50"/>
    <mergeCell ref="B46:E46"/>
    <mergeCell ref="A1:E1"/>
    <mergeCell ref="A3:E3"/>
    <mergeCell ref="A6:A7"/>
    <mergeCell ref="B6:B7"/>
    <mergeCell ref="C6:C7"/>
    <mergeCell ref="D6:D7"/>
    <mergeCell ref="E6:E7"/>
    <mergeCell ref="A4:E4"/>
  </mergeCells>
  <phoneticPr fontId="0" type="noConversion"/>
  <dataValidations count="1">
    <dataValidation type="whole" allowBlank="1" showErrorMessage="1" sqref="E9:E44 D9:D11 D13:D44">
      <formula1>0</formula1>
      <formula2>9.99999999999999E+26</formula2>
    </dataValidation>
  </dataValidations>
  <pageMargins left="0.70866141732283472" right="3.937007874015748E-2" top="0.27559055118110237" bottom="0.51181102362204722" header="0.51181102362204722" footer="0.51181102362204722"/>
  <pageSetup paperSize="9" scale="85" firstPageNumber="0" orientation="portrait" r:id="rId1"/>
  <headerFooter alignWithMargins="0">
    <oddFooter>&amp;C&amp;A&amp;RPagina &amp;P</oddFooter>
  </headerFooter>
  <rowBreaks count="2" manualBreakCount="2">
    <brk id="31" max="4" man="1"/>
    <brk id="63" max="16383" man="1"/>
  </rowBreaks>
  <colBreaks count="1" manualBreakCount="1">
    <brk id="7"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7"/>
  <dimension ref="A1:X47"/>
  <sheetViews>
    <sheetView showZeros="0" workbookViewId="0">
      <selection activeCell="J37" sqref="J37"/>
    </sheetView>
  </sheetViews>
  <sheetFormatPr defaultColWidth="9.140625" defaultRowHeight="12.75"/>
  <cols>
    <col min="1" max="1" width="52.140625" style="371" customWidth="1"/>
    <col min="2" max="2" width="10.7109375" style="371" customWidth="1"/>
    <col min="3" max="3" width="6.85546875" style="371" customWidth="1"/>
    <col min="4" max="4" width="6" style="371" customWidth="1"/>
    <col min="5" max="5" width="5" style="371" customWidth="1"/>
    <col min="6" max="6" width="17.7109375" style="371" customWidth="1"/>
    <col min="7" max="7" width="20.85546875" style="371" customWidth="1"/>
    <col min="8" max="8" width="13.42578125" style="371" customWidth="1"/>
    <col min="9" max="9" width="17.7109375" style="371" customWidth="1"/>
    <col min="10" max="10" width="15.7109375" style="371" customWidth="1"/>
    <col min="11" max="11" width="14.5703125" style="371" customWidth="1"/>
    <col min="12" max="12" width="16.140625" style="371" customWidth="1"/>
    <col min="13" max="16384" width="9.140625" style="371"/>
  </cols>
  <sheetData>
    <row r="1" spans="1:24" ht="15.75">
      <c r="A1" s="4232" t="str">
        <f>'ANEXA 1'!A1:E1</f>
        <v>CASA  DE  ASIGURĂRI  DE  SĂNĂTATE MEHEDINTI</v>
      </c>
      <c r="B1" s="4232"/>
      <c r="C1" s="4232"/>
      <c r="D1" s="4232"/>
      <c r="E1" s="4232"/>
    </row>
    <row r="2" spans="1:24" ht="18">
      <c r="A2" s="372"/>
      <c r="B2" s="373"/>
      <c r="C2" s="373"/>
      <c r="D2" s="373"/>
      <c r="E2" s="373"/>
      <c r="F2" s="373"/>
      <c r="G2" s="373"/>
      <c r="H2" s="373"/>
      <c r="I2" s="373"/>
      <c r="J2" s="373"/>
      <c r="K2" s="374" t="s">
        <v>1173</v>
      </c>
      <c r="L2" s="373"/>
      <c r="M2" s="373"/>
      <c r="N2" s="373"/>
      <c r="O2" s="373"/>
      <c r="P2" s="373"/>
      <c r="Q2" s="373"/>
      <c r="R2" s="373"/>
      <c r="S2" s="373"/>
      <c r="T2" s="373"/>
      <c r="U2" s="373"/>
      <c r="V2" s="373"/>
      <c r="W2" s="373"/>
      <c r="X2" s="373"/>
    </row>
    <row r="3" spans="1:24" ht="18">
      <c r="A3" s="375"/>
      <c r="B3" s="373"/>
      <c r="C3" s="373"/>
      <c r="D3" s="373"/>
      <c r="E3" s="373"/>
      <c r="F3" s="373"/>
      <c r="G3" s="373"/>
      <c r="H3" s="373"/>
      <c r="I3" s="373"/>
      <c r="J3" s="373"/>
      <c r="K3" s="373"/>
      <c r="L3" s="373"/>
      <c r="M3" s="373"/>
      <c r="N3" s="373"/>
      <c r="O3" s="373"/>
      <c r="P3" s="373"/>
      <c r="Q3" s="373"/>
      <c r="R3" s="373"/>
      <c r="S3" s="373"/>
      <c r="T3" s="373"/>
      <c r="U3" s="373"/>
      <c r="V3" s="373"/>
      <c r="W3" s="373"/>
      <c r="X3" s="373"/>
    </row>
    <row r="4" spans="1:24" ht="18">
      <c r="A4" s="4233" t="s">
        <v>1174</v>
      </c>
      <c r="B4" s="4233"/>
      <c r="C4" s="4233"/>
      <c r="D4" s="4233"/>
      <c r="E4" s="4233"/>
      <c r="F4" s="4233"/>
      <c r="G4" s="4233"/>
      <c r="H4" s="4233"/>
      <c r="I4" s="4233"/>
      <c r="J4" s="4233"/>
      <c r="K4" s="4233"/>
      <c r="L4" s="4233"/>
      <c r="M4" s="373"/>
      <c r="N4" s="373"/>
      <c r="O4" s="373"/>
      <c r="P4" s="373"/>
      <c r="Q4" s="373"/>
      <c r="R4" s="373"/>
      <c r="S4" s="373"/>
      <c r="T4" s="373"/>
      <c r="U4" s="373"/>
      <c r="V4" s="373"/>
      <c r="W4" s="373"/>
      <c r="X4" s="373"/>
    </row>
    <row r="5" spans="1:24" ht="18">
      <c r="A5" s="4233" t="str">
        <f>'ANEXA 1'!A12:E12</f>
        <v>la  data  de  30  IUNIE  2023</v>
      </c>
      <c r="B5" s="4233"/>
      <c r="C5" s="4233"/>
      <c r="D5" s="4233"/>
      <c r="E5" s="4233"/>
      <c r="F5" s="4233"/>
      <c r="G5" s="4233"/>
      <c r="H5" s="4233"/>
      <c r="I5" s="4233"/>
      <c r="J5" s="4233"/>
      <c r="K5" s="4233"/>
      <c r="L5" s="4233"/>
      <c r="M5" s="376"/>
      <c r="N5" s="376"/>
      <c r="O5" s="376"/>
      <c r="P5" s="376"/>
      <c r="Q5" s="376"/>
      <c r="R5" s="373"/>
      <c r="S5" s="373"/>
      <c r="T5" s="373"/>
      <c r="U5" s="373"/>
      <c r="V5" s="373"/>
      <c r="W5" s="373"/>
      <c r="X5" s="373"/>
    </row>
    <row r="6" spans="1:24" ht="9.75" customHeight="1">
      <c r="A6" s="377" t="s">
        <v>1175</v>
      </c>
      <c r="B6" s="373"/>
      <c r="C6" s="373"/>
      <c r="D6" s="373"/>
      <c r="E6" s="373"/>
      <c r="F6" s="373"/>
      <c r="G6" s="373"/>
      <c r="H6" s="373"/>
      <c r="I6" s="378"/>
      <c r="J6" s="373"/>
      <c r="K6" s="373"/>
      <c r="L6" s="378"/>
      <c r="M6" s="373"/>
      <c r="N6" s="373"/>
      <c r="O6" s="373"/>
      <c r="P6" s="373"/>
      <c r="Q6" s="373"/>
      <c r="R6" s="373"/>
      <c r="S6" s="373"/>
      <c r="T6" s="373"/>
      <c r="U6" s="373"/>
      <c r="V6" s="373"/>
      <c r="W6" s="373"/>
      <c r="X6" s="373"/>
    </row>
    <row r="7" spans="1:24" ht="18" customHeight="1">
      <c r="A7" s="4234" t="s">
        <v>1176</v>
      </c>
      <c r="B7" s="4228" t="s">
        <v>1114</v>
      </c>
      <c r="C7" s="4235" t="s">
        <v>2122</v>
      </c>
      <c r="D7" s="4235"/>
      <c r="E7" s="4235"/>
      <c r="F7" s="4228" t="s">
        <v>1115</v>
      </c>
      <c r="G7" s="4237" t="s">
        <v>1177</v>
      </c>
      <c r="H7" s="4237"/>
      <c r="I7" s="4237"/>
      <c r="J7" s="4237"/>
      <c r="K7" s="4237"/>
      <c r="L7" s="4237"/>
      <c r="M7" s="378"/>
      <c r="N7" s="373"/>
      <c r="O7" s="373"/>
      <c r="P7" s="373"/>
      <c r="Q7" s="373"/>
      <c r="R7" s="373"/>
      <c r="S7" s="373"/>
      <c r="T7" s="373"/>
      <c r="U7" s="373"/>
      <c r="V7" s="373"/>
      <c r="W7" s="373"/>
      <c r="X7" s="373"/>
    </row>
    <row r="8" spans="1:24" ht="18" customHeight="1">
      <c r="A8" s="4234"/>
      <c r="B8" s="4228"/>
      <c r="C8" s="4235"/>
      <c r="D8" s="4235"/>
      <c r="E8" s="4235"/>
      <c r="F8" s="4228"/>
      <c r="G8" s="4225" t="s">
        <v>259</v>
      </c>
      <c r="H8" s="4236" t="s">
        <v>331</v>
      </c>
      <c r="I8" s="4236"/>
      <c r="J8" s="4236"/>
      <c r="K8" s="4236"/>
      <c r="L8" s="4236"/>
      <c r="M8" s="373"/>
      <c r="N8" s="373"/>
      <c r="O8" s="373"/>
      <c r="P8" s="373"/>
      <c r="Q8" s="373"/>
      <c r="R8" s="373"/>
      <c r="S8" s="373"/>
      <c r="T8" s="373"/>
      <c r="U8" s="373"/>
      <c r="V8" s="373"/>
      <c r="W8" s="373"/>
      <c r="X8" s="373"/>
    </row>
    <row r="9" spans="1:24" ht="18" customHeight="1">
      <c r="A9" s="4234"/>
      <c r="B9" s="4228"/>
      <c r="C9" s="4224" t="s">
        <v>1178</v>
      </c>
      <c r="D9" s="4224" t="s">
        <v>1117</v>
      </c>
      <c r="E9" s="4224" t="s">
        <v>1118</v>
      </c>
      <c r="F9" s="4228"/>
      <c r="G9" s="4225"/>
      <c r="H9" s="4224" t="s">
        <v>1179</v>
      </c>
      <c r="I9" s="4224" t="s">
        <v>1120</v>
      </c>
      <c r="J9" s="4224" t="s">
        <v>1121</v>
      </c>
      <c r="K9" s="4224" t="s">
        <v>1122</v>
      </c>
      <c r="L9" s="4229" t="s">
        <v>1123</v>
      </c>
      <c r="M9" s="373"/>
      <c r="N9" s="373"/>
      <c r="O9" s="373"/>
      <c r="P9" s="373"/>
      <c r="Q9" s="373"/>
      <c r="R9" s="373"/>
      <c r="S9" s="373"/>
      <c r="T9" s="373"/>
      <c r="U9" s="373"/>
      <c r="V9" s="373"/>
      <c r="W9" s="373"/>
      <c r="X9" s="373"/>
    </row>
    <row r="10" spans="1:24" ht="18">
      <c r="A10" s="4234"/>
      <c r="B10" s="4228"/>
      <c r="C10" s="4224"/>
      <c r="D10" s="4224"/>
      <c r="E10" s="4224"/>
      <c r="F10" s="4228"/>
      <c r="G10" s="4225"/>
      <c r="H10" s="4224"/>
      <c r="I10" s="4224"/>
      <c r="J10" s="4224"/>
      <c r="K10" s="4224"/>
      <c r="L10" s="4229"/>
      <c r="M10" s="373"/>
      <c r="N10" s="373"/>
      <c r="O10" s="373"/>
      <c r="P10" s="373"/>
      <c r="Q10" s="373"/>
      <c r="R10" s="373"/>
      <c r="S10" s="373"/>
      <c r="T10" s="373"/>
      <c r="U10" s="373"/>
      <c r="V10" s="373"/>
      <c r="W10" s="373"/>
      <c r="X10" s="373"/>
    </row>
    <row r="11" spans="1:24" ht="18">
      <c r="A11" s="4234"/>
      <c r="B11" s="4228"/>
      <c r="C11" s="4224"/>
      <c r="D11" s="4224"/>
      <c r="E11" s="4224"/>
      <c r="F11" s="4228"/>
      <c r="G11" s="4225"/>
      <c r="H11" s="4224"/>
      <c r="I11" s="4224"/>
      <c r="J11" s="4224"/>
      <c r="K11" s="4224"/>
      <c r="L11" s="4229"/>
      <c r="M11" s="373"/>
      <c r="N11" s="373"/>
      <c r="O11" s="373"/>
      <c r="P11" s="373"/>
      <c r="Q11" s="373"/>
      <c r="R11" s="373"/>
      <c r="S11" s="373"/>
      <c r="T11" s="373"/>
      <c r="U11" s="373"/>
      <c r="V11" s="373"/>
      <c r="W11" s="373"/>
      <c r="X11" s="373"/>
    </row>
    <row r="12" spans="1:24" ht="18">
      <c r="A12" s="4234"/>
      <c r="B12" s="4228"/>
      <c r="C12" s="4224"/>
      <c r="D12" s="4224"/>
      <c r="E12" s="4224"/>
      <c r="F12" s="4228"/>
      <c r="G12" s="4225"/>
      <c r="H12" s="4224"/>
      <c r="I12" s="4224"/>
      <c r="J12" s="4224"/>
      <c r="K12" s="4224"/>
      <c r="L12" s="4229"/>
      <c r="M12" s="373"/>
      <c r="N12" s="373"/>
      <c r="O12" s="373"/>
      <c r="P12" s="373"/>
      <c r="Q12" s="373"/>
      <c r="R12" s="373"/>
      <c r="S12" s="373"/>
      <c r="T12" s="373"/>
      <c r="U12" s="373"/>
      <c r="V12" s="373"/>
      <c r="W12" s="373"/>
      <c r="X12" s="373"/>
    </row>
    <row r="13" spans="1:24" ht="13.5" customHeight="1">
      <c r="A13" s="4234"/>
      <c r="B13" s="4228"/>
      <c r="C13" s="4224"/>
      <c r="D13" s="4224"/>
      <c r="E13" s="4224"/>
      <c r="F13" s="4228"/>
      <c r="G13" s="4225"/>
      <c r="H13" s="4224"/>
      <c r="I13" s="4224"/>
      <c r="J13" s="4224"/>
      <c r="K13" s="4224"/>
      <c r="L13" s="4229"/>
      <c r="M13" s="373"/>
      <c r="N13" s="373"/>
      <c r="O13" s="373"/>
      <c r="P13" s="373"/>
      <c r="Q13" s="373"/>
      <c r="R13" s="373"/>
      <c r="S13" s="373"/>
      <c r="T13" s="373"/>
      <c r="U13" s="373"/>
      <c r="V13" s="373"/>
      <c r="W13" s="373"/>
      <c r="X13" s="373"/>
    </row>
    <row r="14" spans="1:24" ht="18" hidden="1">
      <c r="A14" s="4234"/>
      <c r="B14" s="4228"/>
      <c r="C14" s="4224"/>
      <c r="D14" s="4224"/>
      <c r="E14" s="4224"/>
      <c r="F14" s="4228"/>
      <c r="G14" s="4225"/>
      <c r="H14" s="4224"/>
      <c r="I14" s="4224"/>
      <c r="J14" s="4224"/>
      <c r="K14" s="4224"/>
      <c r="L14" s="4229"/>
      <c r="M14" s="373"/>
      <c r="N14" s="373"/>
      <c r="O14" s="373"/>
      <c r="P14" s="373"/>
      <c r="Q14" s="373"/>
      <c r="R14" s="373"/>
      <c r="S14" s="373"/>
      <c r="T14" s="373"/>
      <c r="U14" s="373"/>
      <c r="V14" s="373"/>
      <c r="W14" s="373"/>
      <c r="X14" s="373"/>
    </row>
    <row r="15" spans="1:24" s="1985" customFormat="1" ht="15" customHeight="1">
      <c r="A15" s="1980" t="s">
        <v>92</v>
      </c>
      <c r="B15" s="1981" t="s">
        <v>93</v>
      </c>
      <c r="C15" s="1982">
        <v>1</v>
      </c>
      <c r="D15" s="1983">
        <v>2</v>
      </c>
      <c r="E15" s="1983">
        <v>3</v>
      </c>
      <c r="F15" s="1983">
        <v>4</v>
      </c>
      <c r="G15" s="1983" t="s">
        <v>1180</v>
      </c>
      <c r="H15" s="1983">
        <v>6</v>
      </c>
      <c r="I15" s="1983">
        <v>7</v>
      </c>
      <c r="J15" s="1983">
        <v>8</v>
      </c>
      <c r="K15" s="1983">
        <v>9</v>
      </c>
      <c r="L15" s="1984">
        <v>10</v>
      </c>
    </row>
    <row r="16" spans="1:24" ht="15.75" customHeight="1">
      <c r="A16" s="380" t="s">
        <v>1125</v>
      </c>
      <c r="B16" s="381" t="s">
        <v>96</v>
      </c>
      <c r="C16" s="382" t="s">
        <v>1109</v>
      </c>
      <c r="D16" s="383" t="s">
        <v>1109</v>
      </c>
      <c r="E16" s="383" t="s">
        <v>1109</v>
      </c>
      <c r="F16" s="384"/>
      <c r="G16" s="384"/>
      <c r="H16" s="384"/>
      <c r="I16" s="384"/>
      <c r="J16" s="384"/>
      <c r="K16" s="384"/>
      <c r="L16" s="385"/>
      <c r="M16" s="373"/>
      <c r="N16" s="373"/>
      <c r="O16" s="373"/>
      <c r="P16" s="373"/>
      <c r="Q16" s="373"/>
      <c r="R16" s="373"/>
      <c r="S16" s="373"/>
      <c r="T16" s="373"/>
      <c r="U16" s="373"/>
      <c r="V16" s="373"/>
      <c r="W16" s="373"/>
      <c r="X16" s="373"/>
    </row>
    <row r="17" spans="1:24" ht="24.75">
      <c r="A17" s="386" t="s">
        <v>2221</v>
      </c>
      <c r="B17" s="387" t="s">
        <v>98</v>
      </c>
      <c r="C17" s="388" t="s">
        <v>1109</v>
      </c>
      <c r="D17" s="389" t="s">
        <v>1109</v>
      </c>
      <c r="E17" s="389" t="s">
        <v>1109</v>
      </c>
      <c r="F17" s="390"/>
      <c r="G17" s="390">
        <f t="shared" ref="G17:G22" si="0">ROUND(H17+I17+J17+K17+L17,1)</f>
        <v>0</v>
      </c>
      <c r="H17" s="390"/>
      <c r="I17" s="390"/>
      <c r="J17" s="390"/>
      <c r="K17" s="390"/>
      <c r="L17" s="391"/>
      <c r="M17" s="373"/>
      <c r="N17" s="373"/>
      <c r="O17" s="373"/>
      <c r="P17" s="373"/>
      <c r="Q17" s="373"/>
      <c r="R17" s="373"/>
      <c r="S17" s="373"/>
      <c r="T17" s="373"/>
      <c r="U17" s="373"/>
      <c r="V17" s="373"/>
      <c r="W17" s="373"/>
      <c r="X17" s="373"/>
    </row>
    <row r="18" spans="1:24" ht="15.6" customHeight="1">
      <c r="A18" s="386" t="s">
        <v>1181</v>
      </c>
      <c r="B18" s="387" t="s">
        <v>100</v>
      </c>
      <c r="C18" s="388" t="s">
        <v>1109</v>
      </c>
      <c r="D18" s="389" t="s">
        <v>1109</v>
      </c>
      <c r="E18" s="389" t="s">
        <v>1109</v>
      </c>
      <c r="F18" s="390"/>
      <c r="G18" s="390">
        <f t="shared" si="0"/>
        <v>0</v>
      </c>
      <c r="H18" s="390"/>
      <c r="I18" s="390"/>
      <c r="J18" s="390"/>
      <c r="K18" s="390"/>
      <c r="L18" s="391"/>
      <c r="M18" s="373"/>
      <c r="N18" s="373"/>
      <c r="O18" s="373"/>
      <c r="P18" s="373"/>
      <c r="Q18" s="373"/>
      <c r="R18" s="373"/>
      <c r="S18" s="373"/>
      <c r="T18" s="373"/>
      <c r="U18" s="373"/>
      <c r="V18" s="373"/>
      <c r="W18" s="373"/>
      <c r="X18" s="373"/>
    </row>
    <row r="19" spans="1:24" ht="13.9" customHeight="1">
      <c r="A19" s="392" t="s">
        <v>1182</v>
      </c>
      <c r="B19" s="387" t="s">
        <v>102</v>
      </c>
      <c r="C19" s="388" t="s">
        <v>1109</v>
      </c>
      <c r="D19" s="389" t="s">
        <v>1109</v>
      </c>
      <c r="E19" s="389" t="s">
        <v>1109</v>
      </c>
      <c r="F19" s="393">
        <f>ROUND(F17+F18,1)</f>
        <v>0</v>
      </c>
      <c r="G19" s="390">
        <f t="shared" si="0"/>
        <v>0</v>
      </c>
      <c r="H19" s="393">
        <f>ROUND(H17+H18,1)</f>
        <v>0</v>
      </c>
      <c r="I19" s="393">
        <f>ROUND(I17+I18,1)</f>
        <v>0</v>
      </c>
      <c r="J19" s="393">
        <f>ROUND(J17+J18,1)</f>
        <v>0</v>
      </c>
      <c r="K19" s="393">
        <f>ROUND(J17+J18,1)</f>
        <v>0</v>
      </c>
      <c r="L19" s="394">
        <f>ROUND(K17+K18,1)</f>
        <v>0</v>
      </c>
      <c r="M19" s="373"/>
      <c r="N19" s="373"/>
      <c r="O19" s="373"/>
      <c r="P19" s="373"/>
      <c r="Q19" s="373"/>
      <c r="R19" s="373"/>
      <c r="S19" s="373"/>
      <c r="T19" s="373"/>
      <c r="U19" s="373"/>
      <c r="V19" s="373"/>
      <c r="W19" s="373"/>
      <c r="X19" s="373"/>
    </row>
    <row r="20" spans="1:24" ht="15" customHeight="1">
      <c r="A20" s="395" t="s">
        <v>1130</v>
      </c>
      <c r="B20" s="387" t="s">
        <v>104</v>
      </c>
      <c r="C20" s="388" t="s">
        <v>1109</v>
      </c>
      <c r="D20" s="389" t="s">
        <v>1109</v>
      </c>
      <c r="E20" s="389" t="s">
        <v>1109</v>
      </c>
      <c r="F20" s="419"/>
      <c r="G20" s="2829">
        <f t="shared" si="0"/>
        <v>0</v>
      </c>
      <c r="H20" s="419"/>
      <c r="I20" s="419"/>
      <c r="J20" s="419"/>
      <c r="K20" s="419"/>
      <c r="L20" s="2826"/>
      <c r="M20" s="373"/>
      <c r="N20" s="373"/>
      <c r="O20" s="373"/>
      <c r="P20" s="373"/>
      <c r="Q20" s="373"/>
      <c r="R20" s="373"/>
      <c r="S20" s="373"/>
      <c r="T20" s="373"/>
      <c r="U20" s="373"/>
      <c r="V20" s="373"/>
      <c r="W20" s="373"/>
      <c r="X20" s="373"/>
    </row>
    <row r="21" spans="1:24" ht="18">
      <c r="A21" s="396" t="s">
        <v>1183</v>
      </c>
      <c r="B21" s="387" t="s">
        <v>107</v>
      </c>
      <c r="C21" s="388" t="s">
        <v>1109</v>
      </c>
      <c r="D21" s="389" t="s">
        <v>1109</v>
      </c>
      <c r="E21" s="389" t="s">
        <v>1109</v>
      </c>
      <c r="F21" s="390"/>
      <c r="G21" s="390">
        <f t="shared" si="0"/>
        <v>0</v>
      </c>
      <c r="H21" s="390"/>
      <c r="I21" s="390"/>
      <c r="J21" s="390"/>
      <c r="K21" s="390"/>
      <c r="L21" s="391"/>
      <c r="M21" s="373"/>
      <c r="N21" s="373"/>
      <c r="O21" s="373"/>
      <c r="P21" s="373"/>
      <c r="Q21" s="373"/>
      <c r="R21" s="373"/>
      <c r="S21" s="373"/>
      <c r="T21" s="373"/>
      <c r="U21" s="373"/>
      <c r="V21" s="373"/>
      <c r="W21" s="373"/>
      <c r="X21" s="373"/>
    </row>
    <row r="22" spans="1:24" ht="18.600000000000001" customHeight="1">
      <c r="A22" s="396" t="s">
        <v>1184</v>
      </c>
      <c r="B22" s="387" t="s">
        <v>110</v>
      </c>
      <c r="C22" s="397"/>
      <c r="D22" s="389" t="s">
        <v>1109</v>
      </c>
      <c r="E22" s="389" t="s">
        <v>1109</v>
      </c>
      <c r="F22" s="390"/>
      <c r="G22" s="393">
        <f t="shared" si="0"/>
        <v>0</v>
      </c>
      <c r="H22" s="390"/>
      <c r="I22" s="390"/>
      <c r="J22" s="390"/>
      <c r="K22" s="390"/>
      <c r="L22" s="391"/>
      <c r="M22" s="373"/>
      <c r="N22" s="373"/>
      <c r="O22" s="373"/>
      <c r="P22" s="373"/>
      <c r="Q22" s="373"/>
      <c r="R22" s="373"/>
      <c r="S22" s="373"/>
      <c r="T22" s="373"/>
      <c r="U22" s="373"/>
      <c r="V22" s="373"/>
      <c r="W22" s="373"/>
      <c r="X22" s="373"/>
    </row>
    <row r="23" spans="1:24" ht="24.6" customHeight="1">
      <c r="A23" s="362" t="s">
        <v>1132</v>
      </c>
      <c r="B23" s="398" t="s">
        <v>112</v>
      </c>
      <c r="C23" s="388" t="s">
        <v>1109</v>
      </c>
      <c r="D23" s="389" t="s">
        <v>1109</v>
      </c>
      <c r="E23" s="389" t="s">
        <v>1109</v>
      </c>
      <c r="F23" s="393">
        <f t="shared" ref="F23:L23" si="1">+F24+F25+F26+F27+F28+F29+F30+F31</f>
        <v>0</v>
      </c>
      <c r="G23" s="393">
        <f t="shared" si="1"/>
        <v>0</v>
      </c>
      <c r="H23" s="393">
        <f t="shared" si="1"/>
        <v>0</v>
      </c>
      <c r="I23" s="393">
        <f t="shared" si="1"/>
        <v>0</v>
      </c>
      <c r="J23" s="393">
        <f t="shared" si="1"/>
        <v>0</v>
      </c>
      <c r="K23" s="393">
        <f t="shared" si="1"/>
        <v>0</v>
      </c>
      <c r="L23" s="394">
        <f t="shared" si="1"/>
        <v>0</v>
      </c>
      <c r="M23" s="373"/>
      <c r="N23" s="373"/>
      <c r="O23" s="373"/>
      <c r="P23" s="373"/>
      <c r="Q23" s="373"/>
      <c r="R23" s="373"/>
      <c r="S23" s="373"/>
      <c r="T23" s="373"/>
      <c r="U23" s="373"/>
      <c r="V23" s="373"/>
      <c r="W23" s="373"/>
      <c r="X23" s="373"/>
    </row>
    <row r="24" spans="1:24" ht="24">
      <c r="A24" s="362" t="s">
        <v>1133</v>
      </c>
      <c r="B24" s="398" t="s">
        <v>114</v>
      </c>
      <c r="C24" s="388" t="s">
        <v>1109</v>
      </c>
      <c r="D24" s="389" t="s">
        <v>1109</v>
      </c>
      <c r="E24" s="389" t="s">
        <v>1109</v>
      </c>
      <c r="F24" s="393"/>
      <c r="G24" s="393">
        <f t="shared" ref="G24:G35" si="2">ROUND(H24+I24+J24+K24+L24,1)</f>
        <v>0</v>
      </c>
      <c r="H24" s="393"/>
      <c r="I24" s="393"/>
      <c r="J24" s="393"/>
      <c r="K24" s="393"/>
      <c r="L24" s="394"/>
      <c r="M24" s="373"/>
      <c r="N24" s="373"/>
      <c r="O24" s="373"/>
      <c r="P24" s="373"/>
      <c r="Q24" s="373"/>
      <c r="R24" s="373"/>
      <c r="S24" s="373"/>
      <c r="T24" s="373"/>
      <c r="U24" s="373"/>
      <c r="V24" s="373"/>
      <c r="W24" s="373"/>
      <c r="X24" s="373"/>
    </row>
    <row r="25" spans="1:24" ht="14.45" customHeight="1">
      <c r="A25" s="362" t="s">
        <v>1134</v>
      </c>
      <c r="B25" s="398" t="s">
        <v>345</v>
      </c>
      <c r="C25" s="388" t="s">
        <v>1109</v>
      </c>
      <c r="D25" s="389" t="s">
        <v>1109</v>
      </c>
      <c r="E25" s="389" t="s">
        <v>1109</v>
      </c>
      <c r="F25" s="393"/>
      <c r="G25" s="393">
        <f t="shared" si="2"/>
        <v>0</v>
      </c>
      <c r="H25" s="393"/>
      <c r="I25" s="393"/>
      <c r="J25" s="393"/>
      <c r="K25" s="393"/>
      <c r="L25" s="394"/>
      <c r="M25" s="373"/>
      <c r="N25" s="373"/>
      <c r="O25" s="373"/>
      <c r="P25" s="373"/>
      <c r="Q25" s="373"/>
      <c r="R25" s="373"/>
      <c r="S25" s="373"/>
      <c r="T25" s="373"/>
      <c r="U25" s="373"/>
      <c r="V25" s="373"/>
      <c r="W25" s="373"/>
      <c r="X25" s="373"/>
    </row>
    <row r="26" spans="1:24" ht="24">
      <c r="A26" s="362" t="s">
        <v>1135</v>
      </c>
      <c r="B26" s="398" t="s">
        <v>33</v>
      </c>
      <c r="C26" s="388" t="s">
        <v>1109</v>
      </c>
      <c r="D26" s="389" t="s">
        <v>1109</v>
      </c>
      <c r="E26" s="389" t="s">
        <v>1109</v>
      </c>
      <c r="F26" s="393"/>
      <c r="G26" s="393">
        <f t="shared" si="2"/>
        <v>0</v>
      </c>
      <c r="H26" s="393"/>
      <c r="I26" s="393"/>
      <c r="J26" s="393"/>
      <c r="K26" s="393"/>
      <c r="L26" s="394"/>
      <c r="M26" s="373"/>
      <c r="N26" s="373"/>
      <c r="O26" s="373"/>
      <c r="P26" s="373"/>
      <c r="Q26" s="373"/>
      <c r="R26" s="373"/>
      <c r="S26" s="373"/>
      <c r="T26" s="373"/>
      <c r="U26" s="373"/>
      <c r="V26" s="373"/>
      <c r="W26" s="373"/>
      <c r="X26" s="373"/>
    </row>
    <row r="27" spans="1:24" ht="24">
      <c r="A27" s="362" t="s">
        <v>1136</v>
      </c>
      <c r="B27" s="398" t="s">
        <v>434</v>
      </c>
      <c r="C27" s="388" t="s">
        <v>1109</v>
      </c>
      <c r="D27" s="389" t="s">
        <v>1109</v>
      </c>
      <c r="E27" s="389" t="s">
        <v>1109</v>
      </c>
      <c r="F27" s="393"/>
      <c r="G27" s="393">
        <f t="shared" si="2"/>
        <v>0</v>
      </c>
      <c r="H27" s="393"/>
      <c r="I27" s="393"/>
      <c r="J27" s="393"/>
      <c r="K27" s="393"/>
      <c r="L27" s="394"/>
      <c r="M27" s="373"/>
      <c r="N27" s="373"/>
      <c r="O27" s="373"/>
      <c r="P27" s="373"/>
      <c r="Q27" s="373"/>
      <c r="R27" s="373"/>
      <c r="S27" s="373"/>
      <c r="T27" s="373"/>
      <c r="U27" s="373"/>
      <c r="V27" s="373"/>
      <c r="W27" s="373"/>
      <c r="X27" s="373"/>
    </row>
    <row r="28" spans="1:24" ht="14.45" customHeight="1">
      <c r="A28" s="362" t="s">
        <v>1137</v>
      </c>
      <c r="B28" s="398" t="s">
        <v>436</v>
      </c>
      <c r="C28" s="388" t="s">
        <v>1109</v>
      </c>
      <c r="D28" s="389" t="s">
        <v>1109</v>
      </c>
      <c r="E28" s="389" t="s">
        <v>1109</v>
      </c>
      <c r="F28" s="393"/>
      <c r="G28" s="393">
        <f t="shared" si="2"/>
        <v>0</v>
      </c>
      <c r="H28" s="393"/>
      <c r="I28" s="393"/>
      <c r="J28" s="393"/>
      <c r="K28" s="393"/>
      <c r="L28" s="394"/>
      <c r="M28" s="373"/>
      <c r="N28" s="373"/>
      <c r="O28" s="373"/>
      <c r="P28" s="373"/>
      <c r="Q28" s="373"/>
      <c r="R28" s="373"/>
      <c r="S28" s="373"/>
      <c r="T28" s="373"/>
      <c r="U28" s="373"/>
      <c r="V28" s="373"/>
      <c r="W28" s="373"/>
      <c r="X28" s="373"/>
    </row>
    <row r="29" spans="1:24" ht="24">
      <c r="A29" s="362" t="s">
        <v>1138</v>
      </c>
      <c r="B29" s="398" t="s">
        <v>438</v>
      </c>
      <c r="C29" s="388" t="s">
        <v>1109</v>
      </c>
      <c r="D29" s="389" t="s">
        <v>1109</v>
      </c>
      <c r="E29" s="389" t="s">
        <v>1109</v>
      </c>
      <c r="F29" s="393"/>
      <c r="G29" s="393">
        <f t="shared" si="2"/>
        <v>0</v>
      </c>
      <c r="H29" s="393"/>
      <c r="I29" s="393"/>
      <c r="J29" s="393"/>
      <c r="K29" s="393"/>
      <c r="L29" s="394"/>
      <c r="M29" s="373"/>
      <c r="N29" s="373"/>
      <c r="O29" s="373"/>
      <c r="P29" s="373"/>
      <c r="Q29" s="373"/>
      <c r="R29" s="373"/>
      <c r="S29" s="373"/>
      <c r="T29" s="373"/>
      <c r="U29" s="373"/>
      <c r="V29" s="373"/>
      <c r="W29" s="373"/>
      <c r="X29" s="373"/>
    </row>
    <row r="30" spans="1:24" ht="13.9" customHeight="1">
      <c r="A30" s="362" t="s">
        <v>1139</v>
      </c>
      <c r="B30" s="398" t="s">
        <v>440</v>
      </c>
      <c r="C30" s="388" t="s">
        <v>1109</v>
      </c>
      <c r="D30" s="389" t="s">
        <v>1109</v>
      </c>
      <c r="E30" s="389" t="s">
        <v>1109</v>
      </c>
      <c r="F30" s="393"/>
      <c r="G30" s="393">
        <f t="shared" si="2"/>
        <v>0</v>
      </c>
      <c r="H30" s="393"/>
      <c r="I30" s="393"/>
      <c r="J30" s="393"/>
      <c r="K30" s="393"/>
      <c r="L30" s="394"/>
      <c r="M30" s="373"/>
      <c r="N30" s="373"/>
      <c r="O30" s="373"/>
      <c r="P30" s="373"/>
      <c r="Q30" s="373"/>
      <c r="R30" s="373"/>
      <c r="S30" s="373"/>
      <c r="T30" s="373"/>
      <c r="U30" s="373"/>
      <c r="V30" s="373"/>
      <c r="W30" s="373"/>
      <c r="X30" s="373"/>
    </row>
    <row r="31" spans="1:24" ht="21.6" customHeight="1">
      <c r="A31" s="362" t="s">
        <v>1185</v>
      </c>
      <c r="B31" s="398" t="s">
        <v>442</v>
      </c>
      <c r="C31" s="388" t="s">
        <v>1109</v>
      </c>
      <c r="D31" s="389" t="s">
        <v>1109</v>
      </c>
      <c r="E31" s="389" t="s">
        <v>1109</v>
      </c>
      <c r="F31" s="390"/>
      <c r="G31" s="393">
        <f t="shared" si="2"/>
        <v>0</v>
      </c>
      <c r="H31" s="390"/>
      <c r="I31" s="390"/>
      <c r="J31" s="390"/>
      <c r="K31" s="390"/>
      <c r="L31" s="391"/>
      <c r="M31" s="373"/>
      <c r="N31" s="373"/>
      <c r="O31" s="373"/>
      <c r="P31" s="373"/>
      <c r="Q31" s="373"/>
      <c r="R31" s="373"/>
      <c r="S31" s="373"/>
      <c r="T31" s="373"/>
      <c r="U31" s="373"/>
      <c r="V31" s="373"/>
      <c r="W31" s="373"/>
      <c r="X31" s="373"/>
    </row>
    <row r="32" spans="1:24" ht="29.45" customHeight="1">
      <c r="A32" s="1986" t="s">
        <v>1143</v>
      </c>
      <c r="B32" s="398" t="s">
        <v>444</v>
      </c>
      <c r="C32" s="388" t="s">
        <v>1109</v>
      </c>
      <c r="D32" s="389" t="s">
        <v>1109</v>
      </c>
      <c r="E32" s="389" t="s">
        <v>1109</v>
      </c>
      <c r="F32" s="390"/>
      <c r="G32" s="390">
        <f t="shared" si="2"/>
        <v>0</v>
      </c>
      <c r="H32" s="390"/>
      <c r="I32" s="390"/>
      <c r="J32" s="390"/>
      <c r="K32" s="390"/>
      <c r="L32" s="391"/>
      <c r="M32" s="373"/>
      <c r="N32" s="373"/>
      <c r="O32" s="373"/>
      <c r="P32" s="373"/>
      <c r="Q32" s="373"/>
      <c r="R32" s="373"/>
      <c r="S32" s="373"/>
      <c r="T32" s="373"/>
      <c r="U32" s="373"/>
      <c r="V32" s="373"/>
      <c r="W32" s="373"/>
      <c r="X32" s="373"/>
    </row>
    <row r="33" spans="1:24" ht="32.450000000000003" customHeight="1">
      <c r="A33" s="399" t="s">
        <v>1186</v>
      </c>
      <c r="B33" s="398" t="s">
        <v>446</v>
      </c>
      <c r="C33" s="388" t="s">
        <v>1109</v>
      </c>
      <c r="D33" s="389" t="s">
        <v>1109</v>
      </c>
      <c r="E33" s="389" t="s">
        <v>1109</v>
      </c>
      <c r="F33" s="390"/>
      <c r="G33" s="390">
        <f t="shared" si="2"/>
        <v>0</v>
      </c>
      <c r="H33" s="390"/>
      <c r="I33" s="390"/>
      <c r="J33" s="390"/>
      <c r="K33" s="390"/>
      <c r="L33" s="391"/>
      <c r="M33" s="373"/>
      <c r="N33" s="373"/>
      <c r="O33" s="373"/>
      <c r="P33" s="373"/>
      <c r="Q33" s="373"/>
      <c r="R33" s="373"/>
      <c r="S33" s="373"/>
      <c r="T33" s="373"/>
      <c r="U33" s="373"/>
      <c r="V33" s="373"/>
      <c r="W33" s="373"/>
      <c r="X33" s="373"/>
    </row>
    <row r="34" spans="1:24" ht="21" customHeight="1">
      <c r="A34" s="399" t="s">
        <v>1187</v>
      </c>
      <c r="B34" s="398" t="s">
        <v>1106</v>
      </c>
      <c r="C34" s="388" t="s">
        <v>1109</v>
      </c>
      <c r="D34" s="389" t="s">
        <v>1109</v>
      </c>
      <c r="E34" s="389" t="s">
        <v>1109</v>
      </c>
      <c r="F34" s="390"/>
      <c r="G34" s="393">
        <f t="shared" si="2"/>
        <v>0</v>
      </c>
      <c r="H34" s="390"/>
      <c r="I34" s="390"/>
      <c r="J34" s="390"/>
      <c r="K34" s="390"/>
      <c r="L34" s="391"/>
      <c r="M34" s="373"/>
      <c r="N34" s="373"/>
      <c r="O34" s="373"/>
      <c r="P34" s="373"/>
      <c r="Q34" s="373"/>
      <c r="R34" s="373"/>
      <c r="S34" s="373"/>
      <c r="T34" s="373"/>
      <c r="U34" s="373"/>
      <c r="V34" s="373"/>
      <c r="W34" s="373"/>
      <c r="X34" s="373"/>
    </row>
    <row r="35" spans="1:24" ht="18" customHeight="1">
      <c r="A35" s="399" t="s">
        <v>1188</v>
      </c>
      <c r="B35" s="398" t="s">
        <v>713</v>
      </c>
      <c r="C35" s="388" t="s">
        <v>1109</v>
      </c>
      <c r="D35" s="389" t="s">
        <v>1109</v>
      </c>
      <c r="E35" s="389" t="s">
        <v>1109</v>
      </c>
      <c r="F35" s="390"/>
      <c r="G35" s="393">
        <f t="shared" si="2"/>
        <v>0</v>
      </c>
      <c r="H35" s="390"/>
      <c r="I35" s="390"/>
      <c r="J35" s="390"/>
      <c r="K35" s="390"/>
      <c r="L35" s="391"/>
      <c r="M35" s="400" t="str">
        <f>IF('ANEXA 1'!D22&lt;&gt;F35," eroare "," ")</f>
        <v xml:space="preserve"> </v>
      </c>
      <c r="N35" s="373"/>
      <c r="O35" s="373"/>
      <c r="P35" s="373"/>
      <c r="Q35" s="373"/>
      <c r="R35" s="373"/>
      <c r="S35" s="373"/>
      <c r="T35" s="373"/>
      <c r="U35" s="373"/>
      <c r="V35" s="373"/>
      <c r="W35" s="373"/>
      <c r="X35" s="373"/>
    </row>
    <row r="36" spans="1:24" ht="21" customHeight="1">
      <c r="A36" s="392" t="s">
        <v>1189</v>
      </c>
      <c r="B36" s="398" t="s">
        <v>725</v>
      </c>
      <c r="C36" s="388" t="s">
        <v>1109</v>
      </c>
      <c r="D36" s="389" t="s">
        <v>1109</v>
      </c>
      <c r="E36" s="389" t="s">
        <v>1109</v>
      </c>
      <c r="F36" s="419">
        <f t="shared" ref="F36:L36" si="3">ROUND(F21+F22+F23+F32+F33+F34+F35,1)</f>
        <v>0</v>
      </c>
      <c r="G36" s="419">
        <f t="shared" si="3"/>
        <v>0</v>
      </c>
      <c r="H36" s="419">
        <f t="shared" si="3"/>
        <v>0</v>
      </c>
      <c r="I36" s="419">
        <f t="shared" si="3"/>
        <v>0</v>
      </c>
      <c r="J36" s="419">
        <f t="shared" si="3"/>
        <v>0</v>
      </c>
      <c r="K36" s="419">
        <f t="shared" si="3"/>
        <v>0</v>
      </c>
      <c r="L36" s="2826">
        <f t="shared" si="3"/>
        <v>0</v>
      </c>
      <c r="M36" s="373"/>
      <c r="N36" s="373"/>
      <c r="O36" s="373"/>
      <c r="P36" s="373"/>
      <c r="Q36" s="373"/>
      <c r="R36" s="373"/>
      <c r="S36" s="373"/>
      <c r="T36" s="373"/>
      <c r="U36" s="373"/>
      <c r="V36" s="373"/>
      <c r="W36" s="373"/>
      <c r="X36" s="373"/>
    </row>
    <row r="37" spans="1:24" ht="23.45" customHeight="1">
      <c r="A37" s="401" t="s">
        <v>1190</v>
      </c>
      <c r="B37" s="402" t="s">
        <v>1191</v>
      </c>
      <c r="C37" s="403" t="s">
        <v>1109</v>
      </c>
      <c r="D37" s="404" t="s">
        <v>1109</v>
      </c>
      <c r="E37" s="404" t="s">
        <v>1109</v>
      </c>
      <c r="F37" s="2827">
        <f t="shared" ref="F37:L37" si="4">ROUND(F19+F36,1)</f>
        <v>0</v>
      </c>
      <c r="G37" s="2827">
        <f t="shared" si="4"/>
        <v>0</v>
      </c>
      <c r="H37" s="2827">
        <f t="shared" si="4"/>
        <v>0</v>
      </c>
      <c r="I37" s="2827">
        <f t="shared" si="4"/>
        <v>0</v>
      </c>
      <c r="J37" s="2827">
        <f t="shared" si="4"/>
        <v>0</v>
      </c>
      <c r="K37" s="2827">
        <f t="shared" si="4"/>
        <v>0</v>
      </c>
      <c r="L37" s="2828">
        <f t="shared" si="4"/>
        <v>0</v>
      </c>
      <c r="M37" s="373"/>
      <c r="N37" s="373"/>
      <c r="O37" s="373"/>
      <c r="P37" s="373"/>
      <c r="Q37" s="373"/>
      <c r="R37" s="373"/>
      <c r="S37" s="373"/>
      <c r="T37" s="373"/>
      <c r="U37" s="373"/>
      <c r="V37" s="373"/>
      <c r="W37" s="373"/>
      <c r="X37" s="373"/>
    </row>
    <row r="38" spans="1:24" ht="18">
      <c r="A38" s="373"/>
      <c r="C38" s="373"/>
      <c r="D38" s="373"/>
      <c r="E38" s="373"/>
      <c r="F38" s="373"/>
      <c r="G38" s="373"/>
      <c r="H38" s="373"/>
      <c r="I38" s="1128" t="str">
        <f>IF('CREDITE BUG'!D22&lt;&gt;'ANEXA 35 a1'!H39+'ANEXA 35 b1'!I37," eroare "," ")</f>
        <v xml:space="preserve"> </v>
      </c>
      <c r="J38" s="373"/>
      <c r="K38" s="373"/>
      <c r="L38" s="373"/>
      <c r="M38" s="373"/>
      <c r="N38" s="373"/>
      <c r="O38" s="373"/>
      <c r="P38" s="373"/>
      <c r="Q38" s="373"/>
      <c r="R38" s="373"/>
      <c r="S38" s="373"/>
      <c r="T38" s="373"/>
      <c r="U38" s="373"/>
      <c r="V38" s="373"/>
      <c r="W38" s="373"/>
      <c r="X38" s="373"/>
    </row>
    <row r="39" spans="1:24" ht="18">
      <c r="A39" s="373"/>
      <c r="B39" s="373"/>
      <c r="C39" s="373"/>
      <c r="D39" s="373"/>
      <c r="E39" s="373"/>
      <c r="F39" s="373"/>
      <c r="G39" s="373"/>
      <c r="H39" s="373"/>
      <c r="I39" s="373"/>
      <c r="J39" s="406"/>
      <c r="K39" s="373"/>
      <c r="L39" s="373"/>
      <c r="M39" s="373"/>
      <c r="N39" s="373"/>
      <c r="O39" s="373"/>
      <c r="P39" s="373"/>
      <c r="Q39" s="373"/>
      <c r="R39" s="373"/>
      <c r="S39" s="373"/>
      <c r="T39" s="373"/>
      <c r="U39" s="373"/>
      <c r="V39" s="373"/>
      <c r="W39" s="373"/>
      <c r="X39" s="373"/>
    </row>
    <row r="40" spans="1:24" ht="18" customHeight="1">
      <c r="A40" s="290"/>
      <c r="B40" s="290"/>
      <c r="C40" s="290"/>
      <c r="D40" s="290"/>
      <c r="E40" s="290"/>
      <c r="F40" s="290"/>
      <c r="G40" s="1065"/>
      <c r="H40" s="1065"/>
      <c r="I40" s="1065"/>
      <c r="K40" s="407"/>
      <c r="L40" s="373"/>
      <c r="M40" s="373"/>
      <c r="N40" s="373"/>
      <c r="O40" s="373"/>
      <c r="P40" s="373"/>
      <c r="Q40" s="373"/>
      <c r="R40" s="373"/>
      <c r="S40" s="373"/>
      <c r="T40" s="373"/>
      <c r="U40" s="373"/>
      <c r="V40" s="373"/>
      <c r="W40" s="373"/>
      <c r="X40" s="373"/>
    </row>
    <row r="41" spans="1:24" ht="18">
      <c r="A41" s="1572" t="str">
        <f>+'ANEXA 1'!B94</f>
        <v>DIRECTOR  GENERAL,</v>
      </c>
      <c r="B41" s="4196">
        <f>+'ANEXA 1'!B99</f>
        <v>0</v>
      </c>
      <c r="C41" s="4196"/>
      <c r="D41" s="4196"/>
      <c r="E41" s="4196"/>
      <c r="F41" s="373"/>
      <c r="G41" s="4226" t="str">
        <f>+'ANEXA 1'!D94</f>
        <v>DIRECTOR  EXECUTIV  ECONOMIC,</v>
      </c>
      <c r="H41" s="4226"/>
      <c r="J41" s="4231">
        <f>+'ANEXA 1'!D99</f>
        <v>0</v>
      </c>
      <c r="K41" s="4231"/>
      <c r="L41" s="4231"/>
      <c r="M41" s="373"/>
      <c r="N41" s="373"/>
      <c r="O41" s="373"/>
      <c r="P41" s="373"/>
      <c r="Q41" s="373"/>
      <c r="R41" s="373"/>
      <c r="S41" s="373"/>
      <c r="T41" s="373"/>
      <c r="U41" s="373"/>
      <c r="V41" s="373"/>
      <c r="W41" s="373"/>
      <c r="X41" s="373"/>
    </row>
    <row r="42" spans="1:24" ht="18" customHeight="1">
      <c r="B42" s="926"/>
      <c r="C42" s="926"/>
      <c r="D42" s="926"/>
      <c r="E42" s="926"/>
      <c r="F42" s="290"/>
      <c r="G42" s="1611"/>
      <c r="H42" s="1611"/>
      <c r="I42" s="926"/>
      <c r="J42" s="1599"/>
      <c r="K42" s="1599"/>
      <c r="L42" s="1066"/>
      <c r="M42" s="334"/>
      <c r="N42" s="373"/>
      <c r="O42" s="373"/>
      <c r="P42" s="373"/>
      <c r="Q42" s="373"/>
      <c r="R42" s="373"/>
      <c r="S42" s="373"/>
      <c r="T42" s="373"/>
      <c r="U42" s="373"/>
      <c r="V42" s="373"/>
      <c r="W42" s="373"/>
      <c r="X42" s="373"/>
    </row>
    <row r="43" spans="1:24" ht="18.75" customHeight="1">
      <c r="A43" s="1573" t="str">
        <f>+'ANEXA 1'!B96</f>
        <v>EC.ALBU DRINA</v>
      </c>
      <c r="B43" s="4227">
        <f>+'ANEXA 1'!B101</f>
        <v>0</v>
      </c>
      <c r="C43" s="4227"/>
      <c r="D43" s="4227"/>
      <c r="E43" s="4227"/>
      <c r="F43" s="1064"/>
      <c r="G43" s="4226" t="str">
        <f>+'ANEXA 1'!D96</f>
        <v>EC.BIRCU FLORINA</v>
      </c>
      <c r="H43" s="4226"/>
      <c r="I43" s="1610"/>
      <c r="J43" s="4230">
        <f>+'ANEXA 1'!D101</f>
        <v>0</v>
      </c>
      <c r="K43" s="4230"/>
      <c r="L43" s="4230"/>
      <c r="M43" s="335"/>
      <c r="N43" s="373"/>
      <c r="O43" s="373"/>
      <c r="P43" s="373"/>
      <c r="Q43" s="373"/>
      <c r="R43" s="373"/>
      <c r="S43" s="373"/>
      <c r="T43" s="373"/>
      <c r="U43" s="373"/>
      <c r="V43" s="373"/>
      <c r="W43" s="373"/>
      <c r="X43" s="373"/>
    </row>
    <row r="44" spans="1:24" ht="18.75" customHeight="1">
      <c r="A44" s="1961">
        <f>'ANEXA 1'!B97</f>
        <v>0</v>
      </c>
      <c r="B44" s="1960"/>
      <c r="C44" s="1960"/>
      <c r="D44" s="373"/>
      <c r="E44" s="373"/>
      <c r="F44" s="373"/>
      <c r="G44" s="373"/>
      <c r="H44" s="373"/>
      <c r="I44" s="373"/>
      <c r="J44" s="1067"/>
      <c r="K44" s="1067"/>
      <c r="L44" s="1067"/>
      <c r="M44" s="373"/>
      <c r="N44" s="373"/>
      <c r="O44" s="373"/>
      <c r="P44" s="373"/>
      <c r="Q44" s="373"/>
      <c r="R44" s="373"/>
      <c r="S44" s="373"/>
      <c r="T44" s="373"/>
      <c r="U44" s="373"/>
      <c r="V44" s="373"/>
      <c r="W44" s="373"/>
      <c r="X44" s="373"/>
    </row>
    <row r="45" spans="1:24" ht="16.5" customHeight="1"/>
    <row r="46" spans="1:24" ht="27" customHeight="1"/>
    <row r="47" spans="1:24" ht="20.25" customHeight="1"/>
  </sheetData>
  <sheetProtection algorithmName="SHA-512" hashValue="zXb1QJa60GonseM/8kPFY7q34RlZtaSmSKxBnP5aMxhy23n215G58XWUiz7OoxUKL2CN/PFkYE3tfVqP9A8FWA==" saltValue="I9HMA1DzHzEpy+TYM5VCqg==" spinCount="100000" sheet="1" objects="1" scenarios="1"/>
  <mergeCells count="24">
    <mergeCell ref="L9:L14"/>
    <mergeCell ref="J43:L43"/>
    <mergeCell ref="J41:L41"/>
    <mergeCell ref="A1:E1"/>
    <mergeCell ref="A4:L4"/>
    <mergeCell ref="A5:L5"/>
    <mergeCell ref="A7:A14"/>
    <mergeCell ref="B7:B14"/>
    <mergeCell ref="D9:D14"/>
    <mergeCell ref="J9:J14"/>
    <mergeCell ref="C9:C14"/>
    <mergeCell ref="K9:K14"/>
    <mergeCell ref="C7:E8"/>
    <mergeCell ref="H8:L8"/>
    <mergeCell ref="H9:H14"/>
    <mergeCell ref="G7:L7"/>
    <mergeCell ref="E9:E14"/>
    <mergeCell ref="I9:I14"/>
    <mergeCell ref="G8:G14"/>
    <mergeCell ref="G43:H43"/>
    <mergeCell ref="G41:H41"/>
    <mergeCell ref="B41:E41"/>
    <mergeCell ref="B43:E43"/>
    <mergeCell ref="F7:F14"/>
  </mergeCells>
  <phoneticPr fontId="0" type="noConversion"/>
  <dataValidations count="1">
    <dataValidation type="whole" allowBlank="1" showErrorMessage="1" sqref="F16:K37 L36:L37">
      <formula1>-9.99999999999999E+29</formula1>
      <formula2>9.99999999999999E+29</formula2>
    </dataValidation>
  </dataValidations>
  <pageMargins left="0.27986111111111112" right="0.2" top="0.51180555555555551" bottom="0.15972222222222221" header="0.51180555555555551" footer="0.51180555555555551"/>
  <pageSetup paperSize="9" scale="68"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8"/>
  <dimension ref="A1:AN48"/>
  <sheetViews>
    <sheetView showZeros="0" topLeftCell="E1" workbookViewId="0">
      <selection activeCell="L41" sqref="L41"/>
    </sheetView>
  </sheetViews>
  <sheetFormatPr defaultColWidth="9.140625" defaultRowHeight="18"/>
  <cols>
    <col min="1" max="1" width="40.5703125" style="371" customWidth="1"/>
    <col min="2" max="2" width="8" style="371" customWidth="1"/>
    <col min="3" max="3" width="16.140625" style="371" customWidth="1"/>
    <col min="4" max="4" width="14.5703125" style="371" customWidth="1"/>
    <col min="5" max="5" width="14.85546875" style="371" customWidth="1"/>
    <col min="6" max="6" width="12.28515625" style="371" customWidth="1"/>
    <col min="7" max="7" width="8.42578125" style="371" customWidth="1"/>
    <col min="8" max="8" width="11.85546875" style="371" customWidth="1"/>
    <col min="9" max="9" width="16.5703125" style="371" customWidth="1"/>
    <col min="10" max="10" width="9.140625" style="371" customWidth="1"/>
    <col min="11" max="12" width="14.42578125" style="371" customWidth="1"/>
    <col min="13" max="13" width="11.85546875" style="371" customWidth="1"/>
    <col min="14" max="14" width="13" style="371" customWidth="1"/>
    <col min="15" max="15" width="11" style="371" customWidth="1"/>
    <col min="16" max="16" width="9.5703125" style="371" customWidth="1"/>
    <col min="17" max="17" width="15.42578125" style="409" customWidth="1"/>
    <col min="18" max="18" width="10" style="409" customWidth="1"/>
    <col min="19" max="19" width="10.42578125" style="371" customWidth="1"/>
    <col min="20" max="16384" width="9.140625" style="371"/>
  </cols>
  <sheetData>
    <row r="1" spans="1:40">
      <c r="A1" s="4232" t="str">
        <f>'ANEXA 1'!A1:E1</f>
        <v>CASA  DE  ASIGURĂRI  DE  SĂNĂTATE MEHEDINTI</v>
      </c>
      <c r="B1" s="4232"/>
      <c r="C1" s="4232"/>
      <c r="D1" s="4232"/>
      <c r="E1" s="4232"/>
      <c r="F1" s="4232"/>
      <c r="Q1" s="371"/>
    </row>
    <row r="2" spans="1:40" ht="18.75">
      <c r="A2" s="375"/>
      <c r="B2" s="410"/>
      <c r="C2" s="410"/>
      <c r="D2" s="410"/>
      <c r="E2" s="410"/>
      <c r="F2" s="410"/>
      <c r="G2" s="410"/>
      <c r="H2" s="410"/>
      <c r="I2" s="410"/>
      <c r="J2" s="410"/>
      <c r="K2" s="410"/>
      <c r="L2" s="410"/>
      <c r="M2" s="410"/>
      <c r="N2" s="410"/>
      <c r="O2" s="410"/>
      <c r="P2" s="410"/>
      <c r="Q2" s="410"/>
      <c r="R2" s="411"/>
      <c r="S2" s="410"/>
      <c r="T2" s="410"/>
      <c r="U2" s="410"/>
      <c r="V2" s="410"/>
      <c r="W2" s="410"/>
      <c r="X2" s="410"/>
      <c r="Y2" s="410"/>
      <c r="Z2" s="410"/>
      <c r="AA2" s="410"/>
      <c r="AB2" s="410"/>
      <c r="AC2" s="410"/>
      <c r="AD2" s="410"/>
      <c r="AE2" s="410"/>
      <c r="AF2" s="410"/>
      <c r="AG2" s="410"/>
    </row>
    <row r="3" spans="1:40">
      <c r="A3" s="4233" t="s">
        <v>1192</v>
      </c>
      <c r="B3" s="4233"/>
      <c r="C3" s="4233"/>
      <c r="D3" s="4233"/>
      <c r="E3" s="4233"/>
      <c r="F3" s="4233"/>
      <c r="G3" s="4233"/>
      <c r="H3" s="4233"/>
      <c r="I3" s="4233"/>
      <c r="J3" s="4233"/>
      <c r="K3" s="4233"/>
      <c r="L3" s="4233"/>
      <c r="M3" s="4233"/>
      <c r="N3" s="4233"/>
      <c r="O3" s="4233"/>
      <c r="P3" s="4233"/>
      <c r="Q3" s="412"/>
      <c r="S3" s="374"/>
      <c r="T3" s="374"/>
      <c r="U3" s="374"/>
      <c r="V3" s="374"/>
      <c r="W3" s="374"/>
      <c r="X3" s="374"/>
      <c r="Y3" s="374"/>
      <c r="Z3" s="374"/>
      <c r="AA3" s="374"/>
      <c r="AB3" s="374"/>
      <c r="AC3" s="374"/>
      <c r="AD3" s="374"/>
      <c r="AE3" s="374"/>
      <c r="AF3" s="374"/>
      <c r="AG3" s="374"/>
      <c r="AH3" s="374"/>
      <c r="AI3" s="374"/>
      <c r="AJ3" s="374"/>
      <c r="AK3" s="374"/>
      <c r="AL3" s="374"/>
      <c r="AM3" s="374"/>
      <c r="AN3" s="374"/>
    </row>
    <row r="4" spans="1:40">
      <c r="A4" s="4233" t="str">
        <f>'ANEXA 1'!A12:E12</f>
        <v>la  data  de  30  IUNIE  2023</v>
      </c>
      <c r="B4" s="4233"/>
      <c r="C4" s="4233"/>
      <c r="D4" s="4233"/>
      <c r="E4" s="4233"/>
      <c r="F4" s="4233"/>
      <c r="G4" s="4233"/>
      <c r="H4" s="4233"/>
      <c r="I4" s="4233"/>
      <c r="J4" s="4233"/>
      <c r="K4" s="4233"/>
      <c r="L4" s="4233"/>
      <c r="M4" s="4233"/>
      <c r="N4" s="4233"/>
      <c r="O4" s="4233"/>
      <c r="P4" s="4233"/>
      <c r="Q4" s="412"/>
      <c r="S4" s="373"/>
      <c r="T4" s="373"/>
      <c r="U4" s="373"/>
      <c r="V4" s="373"/>
      <c r="W4" s="373"/>
      <c r="X4" s="373"/>
      <c r="Y4" s="373"/>
      <c r="Z4" s="373"/>
      <c r="AA4" s="374"/>
      <c r="AB4" s="374"/>
      <c r="AC4" s="374"/>
      <c r="AD4" s="374"/>
      <c r="AE4" s="374"/>
      <c r="AF4" s="374"/>
      <c r="AG4" s="374"/>
      <c r="AH4" s="374"/>
      <c r="AI4" s="374"/>
      <c r="AJ4" s="374"/>
      <c r="AK4" s="374"/>
      <c r="AL4" s="374"/>
      <c r="AM4" s="374"/>
      <c r="AN4" s="374"/>
    </row>
    <row r="5" spans="1:40">
      <c r="A5" s="373"/>
      <c r="B5" s="373"/>
      <c r="C5" s="373"/>
      <c r="D5" s="373"/>
      <c r="E5" s="373"/>
      <c r="F5" s="378"/>
      <c r="G5" s="378"/>
      <c r="H5" s="378"/>
      <c r="I5" s="373"/>
      <c r="J5" s="373"/>
      <c r="K5" s="373"/>
      <c r="L5" s="373"/>
      <c r="M5" s="373"/>
      <c r="N5" s="373"/>
      <c r="O5" s="373"/>
      <c r="P5" s="373"/>
      <c r="Q5" s="373"/>
      <c r="S5" s="373"/>
      <c r="T5" s="373"/>
      <c r="U5" s="373"/>
      <c r="V5" s="373"/>
      <c r="W5" s="373"/>
      <c r="X5" s="373"/>
      <c r="Y5" s="373"/>
      <c r="Z5" s="373"/>
      <c r="AA5" s="374"/>
      <c r="AB5" s="374"/>
      <c r="AC5" s="374"/>
      <c r="AD5" s="374"/>
      <c r="AE5" s="374"/>
      <c r="AF5" s="374"/>
      <c r="AG5" s="374"/>
      <c r="AH5" s="374"/>
      <c r="AI5" s="374"/>
      <c r="AJ5" s="374"/>
      <c r="AK5" s="374"/>
      <c r="AL5" s="374"/>
      <c r="AM5" s="374"/>
      <c r="AN5" s="374"/>
    </row>
    <row r="6" spans="1:40">
      <c r="A6" s="373" t="s">
        <v>1193</v>
      </c>
      <c r="B6" s="373"/>
      <c r="C6" s="373"/>
      <c r="D6" s="373"/>
      <c r="E6" s="373"/>
      <c r="F6" s="378"/>
      <c r="G6" s="378"/>
      <c r="H6" s="378"/>
      <c r="I6" s="373"/>
      <c r="J6" s="373"/>
      <c r="K6" s="373"/>
      <c r="L6" s="373"/>
      <c r="M6" s="373"/>
      <c r="N6" s="373"/>
      <c r="O6" s="373"/>
      <c r="P6" s="373" t="s">
        <v>1149</v>
      </c>
      <c r="Q6" s="373"/>
      <c r="S6" s="373"/>
      <c r="T6" s="373"/>
      <c r="U6" s="373"/>
      <c r="V6" s="373"/>
      <c r="W6" s="373"/>
      <c r="X6" s="373"/>
      <c r="Y6" s="373"/>
      <c r="Z6" s="373"/>
      <c r="AA6" s="374"/>
      <c r="AB6" s="374"/>
      <c r="AC6" s="374"/>
      <c r="AD6" s="374"/>
      <c r="AE6" s="374"/>
      <c r="AF6" s="374"/>
      <c r="AG6" s="374"/>
      <c r="AH6" s="374"/>
      <c r="AI6" s="374"/>
      <c r="AJ6" s="374"/>
      <c r="AK6" s="374"/>
      <c r="AL6" s="374"/>
      <c r="AM6" s="374"/>
      <c r="AN6" s="374"/>
    </row>
    <row r="7" spans="1:40" ht="18" customHeight="1">
      <c r="A7" s="4248" t="s">
        <v>1194</v>
      </c>
      <c r="B7" s="4251" t="s">
        <v>1114</v>
      </c>
      <c r="C7" s="4252" t="s">
        <v>1150</v>
      </c>
      <c r="D7" s="4252"/>
      <c r="E7" s="4252"/>
      <c r="F7" s="4252"/>
      <c r="G7" s="4252"/>
      <c r="H7" s="4252"/>
      <c r="I7" s="4251" t="s">
        <v>1195</v>
      </c>
      <c r="J7" s="4253" t="s">
        <v>1196</v>
      </c>
      <c r="K7" s="4253"/>
      <c r="L7" s="4253"/>
      <c r="M7" s="4253"/>
      <c r="N7" s="4253"/>
      <c r="O7" s="4253"/>
      <c r="P7" s="4254"/>
      <c r="S7" s="373"/>
      <c r="T7" s="373"/>
      <c r="U7" s="373"/>
      <c r="V7" s="373"/>
      <c r="W7" s="373"/>
      <c r="X7" s="373"/>
      <c r="Y7" s="373"/>
      <c r="Z7" s="373"/>
      <c r="AA7" s="374"/>
      <c r="AB7" s="374"/>
      <c r="AC7" s="374"/>
      <c r="AD7" s="374"/>
      <c r="AE7" s="374"/>
      <c r="AF7" s="374"/>
      <c r="AG7" s="374"/>
      <c r="AH7" s="374"/>
      <c r="AI7" s="374"/>
      <c r="AJ7" s="374"/>
      <c r="AK7" s="374"/>
      <c r="AL7" s="374"/>
      <c r="AM7" s="374"/>
      <c r="AN7" s="374"/>
    </row>
    <row r="8" spans="1:40" ht="18.75" customHeight="1">
      <c r="A8" s="4249"/>
      <c r="B8" s="4241"/>
      <c r="C8" s="4257" t="s">
        <v>259</v>
      </c>
      <c r="D8" s="413"/>
      <c r="E8" s="4259" t="s">
        <v>331</v>
      </c>
      <c r="F8" s="4259"/>
      <c r="G8" s="4259"/>
      <c r="H8" s="4259"/>
      <c r="I8" s="4241"/>
      <c r="J8" s="4255"/>
      <c r="K8" s="4255"/>
      <c r="L8" s="4255"/>
      <c r="M8" s="4255"/>
      <c r="N8" s="4255"/>
      <c r="O8" s="4255"/>
      <c r="P8" s="4256"/>
      <c r="S8" s="373"/>
      <c r="T8" s="373"/>
      <c r="U8" s="373"/>
      <c r="V8" s="373"/>
      <c r="W8" s="373"/>
      <c r="X8" s="373"/>
      <c r="Y8" s="373"/>
      <c r="Z8" s="373"/>
      <c r="AA8" s="374"/>
      <c r="AB8" s="374"/>
      <c r="AC8" s="374"/>
      <c r="AD8" s="374"/>
      <c r="AE8" s="374"/>
      <c r="AF8" s="374"/>
      <c r="AG8" s="374"/>
      <c r="AH8" s="374"/>
      <c r="AI8" s="374"/>
      <c r="AJ8" s="374"/>
      <c r="AK8" s="374"/>
      <c r="AL8" s="374"/>
      <c r="AM8" s="374"/>
      <c r="AN8" s="374"/>
    </row>
    <row r="9" spans="1:40" ht="18" customHeight="1">
      <c r="A9" s="4249"/>
      <c r="B9" s="4241"/>
      <c r="C9" s="4257"/>
      <c r="D9" s="4257" t="s">
        <v>1197</v>
      </c>
      <c r="E9" s="4262" t="s">
        <v>1156</v>
      </c>
      <c r="F9" s="4257" t="s">
        <v>1198</v>
      </c>
      <c r="G9" s="4241" t="s">
        <v>1199</v>
      </c>
      <c r="H9" s="4241" t="s">
        <v>1200</v>
      </c>
      <c r="I9" s="4241"/>
      <c r="J9" s="4245" t="s">
        <v>2401</v>
      </c>
      <c r="K9" s="4244" t="s">
        <v>1201</v>
      </c>
      <c r="L9" s="4244" t="s">
        <v>1202</v>
      </c>
      <c r="M9" s="4244" t="s">
        <v>1203</v>
      </c>
      <c r="N9" s="4244" t="s">
        <v>1204</v>
      </c>
      <c r="O9" s="4244" t="s">
        <v>1205</v>
      </c>
      <c r="P9" s="4260" t="s">
        <v>1206</v>
      </c>
      <c r="S9" s="373"/>
      <c r="T9" s="373"/>
      <c r="U9" s="373"/>
      <c r="V9" s="373"/>
      <c r="W9" s="373"/>
      <c r="X9" s="373"/>
      <c r="Y9" s="373"/>
      <c r="Z9" s="373"/>
      <c r="AA9" s="374"/>
      <c r="AB9" s="374"/>
      <c r="AC9" s="374"/>
      <c r="AD9" s="374"/>
      <c r="AE9" s="374"/>
      <c r="AF9" s="374"/>
      <c r="AG9" s="374"/>
      <c r="AH9" s="374"/>
      <c r="AI9" s="374"/>
      <c r="AJ9" s="374"/>
      <c r="AK9" s="374"/>
      <c r="AL9" s="374"/>
      <c r="AM9" s="374"/>
      <c r="AN9" s="374"/>
    </row>
    <row r="10" spans="1:40">
      <c r="A10" s="4249"/>
      <c r="B10" s="4241"/>
      <c r="C10" s="4257"/>
      <c r="D10" s="4257"/>
      <c r="E10" s="4262"/>
      <c r="F10" s="4257"/>
      <c r="G10" s="4241"/>
      <c r="H10" s="4241"/>
      <c r="I10" s="4241"/>
      <c r="J10" s="4245"/>
      <c r="K10" s="4244"/>
      <c r="L10" s="4244"/>
      <c r="M10" s="4244"/>
      <c r="N10" s="4244"/>
      <c r="O10" s="4244"/>
      <c r="P10" s="4260"/>
      <c r="S10" s="373"/>
      <c r="T10" s="373"/>
      <c r="U10" s="373"/>
      <c r="V10" s="373"/>
      <c r="W10" s="373"/>
      <c r="X10" s="373"/>
      <c r="Y10" s="373"/>
      <c r="Z10" s="373"/>
      <c r="AA10" s="374"/>
      <c r="AB10" s="374"/>
      <c r="AC10" s="374"/>
      <c r="AD10" s="374"/>
      <c r="AE10" s="374"/>
      <c r="AF10" s="374"/>
      <c r="AG10" s="374"/>
      <c r="AH10" s="374"/>
      <c r="AI10" s="374"/>
      <c r="AJ10" s="374"/>
      <c r="AK10" s="374"/>
      <c r="AL10" s="374"/>
      <c r="AM10" s="374"/>
      <c r="AN10" s="374"/>
    </row>
    <row r="11" spans="1:40">
      <c r="A11" s="4249"/>
      <c r="B11" s="4241"/>
      <c r="C11" s="4257"/>
      <c r="D11" s="4257"/>
      <c r="E11" s="4262"/>
      <c r="F11" s="4257"/>
      <c r="G11" s="4241"/>
      <c r="H11" s="4241"/>
      <c r="I11" s="4241"/>
      <c r="J11" s="4245"/>
      <c r="K11" s="4244"/>
      <c r="L11" s="4244"/>
      <c r="M11" s="4244"/>
      <c r="N11" s="4244"/>
      <c r="O11" s="4244"/>
      <c r="P11" s="4260"/>
      <c r="S11" s="373"/>
      <c r="T11" s="373"/>
      <c r="U11" s="373"/>
      <c r="V11" s="373"/>
      <c r="W11" s="373"/>
      <c r="X11" s="373"/>
      <c r="Y11" s="373"/>
      <c r="Z11" s="373"/>
      <c r="AA11" s="374"/>
      <c r="AB11" s="374"/>
      <c r="AC11" s="374"/>
      <c r="AD11" s="374"/>
      <c r="AE11" s="374"/>
      <c r="AF11" s="374"/>
      <c r="AG11" s="374"/>
      <c r="AH11" s="374"/>
      <c r="AI11" s="374"/>
      <c r="AJ11" s="374"/>
      <c r="AK11" s="374"/>
      <c r="AL11" s="374"/>
      <c r="AM11" s="374"/>
      <c r="AN11" s="374"/>
    </row>
    <row r="12" spans="1:40" ht="18" customHeight="1">
      <c r="A12" s="4249"/>
      <c r="B12" s="4241"/>
      <c r="C12" s="4257"/>
      <c r="D12" s="4257"/>
      <c r="E12" s="4262"/>
      <c r="F12" s="4257"/>
      <c r="G12" s="4241"/>
      <c r="H12" s="4241"/>
      <c r="I12" s="4241"/>
      <c r="J12" s="4245"/>
      <c r="K12" s="4244"/>
      <c r="L12" s="4244"/>
      <c r="M12" s="4244"/>
      <c r="N12" s="4244"/>
      <c r="O12" s="4244"/>
      <c r="P12" s="4260"/>
      <c r="S12" s="414"/>
      <c r="T12" s="373"/>
      <c r="U12" s="373"/>
      <c r="V12" s="373"/>
      <c r="W12" s="373"/>
      <c r="X12" s="373"/>
      <c r="Y12" s="373"/>
      <c r="Z12" s="373"/>
      <c r="AA12" s="374"/>
      <c r="AB12" s="374"/>
      <c r="AC12" s="374"/>
      <c r="AD12" s="374"/>
      <c r="AE12" s="374"/>
      <c r="AF12" s="374"/>
      <c r="AG12" s="374"/>
      <c r="AH12" s="374"/>
      <c r="AI12" s="374"/>
      <c r="AJ12" s="374"/>
      <c r="AK12" s="374"/>
      <c r="AL12" s="374"/>
      <c r="AM12" s="374"/>
      <c r="AN12" s="374"/>
    </row>
    <row r="13" spans="1:40" ht="22.5" customHeight="1">
      <c r="A13" s="4249"/>
      <c r="B13" s="4241"/>
      <c r="C13" s="4257"/>
      <c r="D13" s="4257"/>
      <c r="E13" s="4262"/>
      <c r="F13" s="4257"/>
      <c r="G13" s="4241"/>
      <c r="H13" s="4241"/>
      <c r="I13" s="4241"/>
      <c r="J13" s="4245"/>
      <c r="K13" s="4244"/>
      <c r="L13" s="4244"/>
      <c r="M13" s="4244"/>
      <c r="N13" s="4244"/>
      <c r="O13" s="4244"/>
      <c r="P13" s="4260"/>
      <c r="S13" s="414"/>
      <c r="T13" s="373"/>
      <c r="U13" s="373"/>
      <c r="V13" s="373"/>
      <c r="W13" s="373"/>
      <c r="X13" s="373"/>
      <c r="Y13" s="373"/>
      <c r="Z13" s="373"/>
      <c r="AA13" s="374"/>
      <c r="AB13" s="374"/>
      <c r="AC13" s="374"/>
      <c r="AD13" s="374"/>
      <c r="AE13" s="374"/>
      <c r="AF13" s="374"/>
      <c r="AG13" s="374"/>
      <c r="AH13" s="374"/>
      <c r="AI13" s="374"/>
      <c r="AJ13" s="374"/>
      <c r="AK13" s="374"/>
      <c r="AL13" s="374"/>
      <c r="AM13" s="374"/>
      <c r="AN13" s="374"/>
    </row>
    <row r="14" spans="1:40" ht="17.45" hidden="1" customHeight="1">
      <c r="A14" s="4250"/>
      <c r="B14" s="4242"/>
      <c r="C14" s="4258"/>
      <c r="D14" s="4258"/>
      <c r="E14" s="4263"/>
      <c r="F14" s="4258"/>
      <c r="G14" s="4242"/>
      <c r="H14" s="4242"/>
      <c r="I14" s="4242"/>
      <c r="J14" s="4246"/>
      <c r="K14" s="4247"/>
      <c r="L14" s="4247"/>
      <c r="M14" s="2213"/>
      <c r="N14" s="4247"/>
      <c r="O14" s="2213"/>
      <c r="P14" s="4261"/>
      <c r="S14" s="414"/>
      <c r="T14" s="373"/>
      <c r="U14" s="373"/>
      <c r="V14" s="373"/>
      <c r="W14" s="373"/>
      <c r="X14" s="373"/>
      <c r="Y14" s="373"/>
      <c r="Z14" s="373"/>
      <c r="AA14" s="374"/>
      <c r="AB14" s="374"/>
      <c r="AC14" s="374"/>
      <c r="AD14" s="374"/>
      <c r="AE14" s="374"/>
      <c r="AF14" s="374"/>
      <c r="AG14" s="374"/>
      <c r="AH14" s="374"/>
      <c r="AI14" s="374"/>
      <c r="AJ14" s="374"/>
      <c r="AK14" s="374"/>
      <c r="AL14" s="374"/>
      <c r="AM14" s="374"/>
      <c r="AN14" s="374"/>
    </row>
    <row r="15" spans="1:40" s="379" customFormat="1" ht="14.45" customHeight="1">
      <c r="A15" s="2219" t="s">
        <v>92</v>
      </c>
      <c r="B15" s="2220" t="s">
        <v>93</v>
      </c>
      <c r="C15" s="2220" t="s">
        <v>1207</v>
      </c>
      <c r="D15" s="2220">
        <v>12</v>
      </c>
      <c r="E15" s="2220">
        <v>13</v>
      </c>
      <c r="F15" s="2220">
        <v>14</v>
      </c>
      <c r="G15" s="2220">
        <v>15</v>
      </c>
      <c r="H15" s="2220">
        <v>16</v>
      </c>
      <c r="I15" s="2220" t="s">
        <v>1208</v>
      </c>
      <c r="J15" s="2220">
        <v>18</v>
      </c>
      <c r="K15" s="2220">
        <v>19</v>
      </c>
      <c r="L15" s="2220">
        <v>20</v>
      </c>
      <c r="M15" s="2220">
        <v>21</v>
      </c>
      <c r="N15" s="2220">
        <v>22</v>
      </c>
      <c r="O15" s="2220">
        <v>23</v>
      </c>
      <c r="P15" s="2221">
        <v>24</v>
      </c>
      <c r="Q15" s="409"/>
      <c r="R15" s="409"/>
      <c r="S15" s="414"/>
    </row>
    <row r="16" spans="1:40">
      <c r="A16" s="2214" t="s">
        <v>1125</v>
      </c>
      <c r="B16" s="2215" t="s">
        <v>96</v>
      </c>
      <c r="C16" s="2216"/>
      <c r="D16" s="2216"/>
      <c r="E16" s="2216"/>
      <c r="F16" s="2216"/>
      <c r="G16" s="2216"/>
      <c r="H16" s="2216"/>
      <c r="I16" s="2217" t="s">
        <v>1209</v>
      </c>
      <c r="J16" s="2216"/>
      <c r="K16" s="2218"/>
      <c r="L16" s="2218"/>
      <c r="M16" s="2218"/>
      <c r="N16" s="2218"/>
      <c r="O16" s="2218"/>
      <c r="P16" s="2222"/>
      <c r="S16" s="414"/>
      <c r="T16" s="373"/>
      <c r="U16" s="373"/>
      <c r="V16" s="373"/>
      <c r="W16" s="373"/>
      <c r="X16" s="373"/>
      <c r="Y16" s="373"/>
      <c r="Z16" s="373"/>
      <c r="AA16" s="374"/>
      <c r="AB16" s="374"/>
      <c r="AC16" s="374"/>
      <c r="AD16" s="374"/>
      <c r="AE16" s="374"/>
      <c r="AF16" s="374"/>
      <c r="AG16" s="374"/>
      <c r="AH16" s="374"/>
      <c r="AI16" s="374"/>
      <c r="AJ16" s="374"/>
      <c r="AK16" s="374"/>
      <c r="AL16" s="374"/>
      <c r="AM16" s="374"/>
      <c r="AN16" s="374"/>
    </row>
    <row r="17" spans="1:40" ht="24.75">
      <c r="A17" s="2199" t="s">
        <v>2221</v>
      </c>
      <c r="B17" s="2196" t="s">
        <v>98</v>
      </c>
      <c r="C17" s="393">
        <f>ROUND(D17+E17+F17+G17+H17,1)</f>
        <v>0</v>
      </c>
      <c r="D17" s="390"/>
      <c r="E17" s="390"/>
      <c r="F17" s="390"/>
      <c r="G17" s="390"/>
      <c r="H17" s="390"/>
      <c r="I17" s="393">
        <f>+'ANEXA 35 b1'!F17+'ANEXA 35 b1'!G17-'ANEXA 35 b2'!C17</f>
        <v>0</v>
      </c>
      <c r="J17" s="393"/>
      <c r="K17" s="2197" t="s">
        <v>212</v>
      </c>
      <c r="L17" s="2197" t="s">
        <v>212</v>
      </c>
      <c r="M17" s="415"/>
      <c r="N17" s="2197" t="s">
        <v>212</v>
      </c>
      <c r="O17" s="415"/>
      <c r="P17" s="2223" t="s">
        <v>212</v>
      </c>
      <c r="Q17" s="416" t="str">
        <f>IF(I17&lt;&gt;J17," eroare "," ")</f>
        <v xml:space="preserve"> </v>
      </c>
      <c r="R17" s="417"/>
      <c r="S17" s="418"/>
      <c r="T17" s="373"/>
      <c r="U17" s="373"/>
      <c r="V17" s="373"/>
      <c r="W17" s="373"/>
      <c r="X17" s="373"/>
      <c r="Y17" s="373"/>
      <c r="Z17" s="373"/>
      <c r="AA17" s="374"/>
      <c r="AB17" s="374"/>
      <c r="AC17" s="374"/>
      <c r="AD17" s="374"/>
      <c r="AE17" s="374"/>
      <c r="AF17" s="374"/>
      <c r="AG17" s="374"/>
      <c r="AH17" s="374"/>
      <c r="AI17" s="374"/>
      <c r="AJ17" s="374"/>
      <c r="AK17" s="374"/>
      <c r="AL17" s="374"/>
      <c r="AM17" s="374"/>
      <c r="AN17" s="374"/>
    </row>
    <row r="18" spans="1:40" ht="24.75">
      <c r="A18" s="2199" t="s">
        <v>1181</v>
      </c>
      <c r="B18" s="2196" t="s">
        <v>100</v>
      </c>
      <c r="C18" s="393">
        <f>ROUND(D18+E18+F18+G18+H18,1)</f>
        <v>0</v>
      </c>
      <c r="D18" s="390"/>
      <c r="E18" s="390"/>
      <c r="F18" s="390"/>
      <c r="G18" s="390"/>
      <c r="H18" s="390"/>
      <c r="I18" s="393">
        <f>+'ANEXA 35 b1'!F18+'ANEXA 35 b1'!G18-'ANEXA 35 b2'!C18</f>
        <v>0</v>
      </c>
      <c r="J18" s="2197" t="s">
        <v>212</v>
      </c>
      <c r="K18" s="2197" t="s">
        <v>212</v>
      </c>
      <c r="L18" s="2197" t="s">
        <v>212</v>
      </c>
      <c r="M18" s="2197" t="s">
        <v>212</v>
      </c>
      <c r="N18" s="2197" t="s">
        <v>212</v>
      </c>
      <c r="O18" s="2197" t="s">
        <v>212</v>
      </c>
      <c r="P18" s="2223" t="s">
        <v>212</v>
      </c>
      <c r="Q18" s="417"/>
      <c r="R18" s="417"/>
      <c r="S18" s="414"/>
      <c r="T18" s="373"/>
      <c r="U18" s="373"/>
      <c r="V18" s="373"/>
      <c r="W18" s="373"/>
      <c r="X18" s="373"/>
      <c r="Y18" s="373"/>
      <c r="Z18" s="373"/>
      <c r="AA18" s="374"/>
      <c r="AB18" s="374"/>
      <c r="AC18" s="374"/>
      <c r="AD18" s="374"/>
      <c r="AE18" s="374"/>
      <c r="AF18" s="374"/>
      <c r="AG18" s="374"/>
      <c r="AH18" s="374"/>
      <c r="AI18" s="374"/>
      <c r="AJ18" s="374"/>
      <c r="AK18" s="374"/>
      <c r="AL18" s="374"/>
      <c r="AM18" s="374"/>
      <c r="AN18" s="374"/>
    </row>
    <row r="19" spans="1:40" ht="18.75" customHeight="1">
      <c r="A19" s="2198" t="s">
        <v>1182</v>
      </c>
      <c r="B19" s="2196" t="s">
        <v>102</v>
      </c>
      <c r="C19" s="1962">
        <f>ROUND(D19+E19+F19+G19+H19,1)</f>
        <v>0</v>
      </c>
      <c r="D19" s="1962">
        <f>ROUND(D17+D18,1)</f>
        <v>0</v>
      </c>
      <c r="E19" s="1962">
        <f>ROUND(E17+E18,1)</f>
        <v>0</v>
      </c>
      <c r="F19" s="1962">
        <f>ROUND(F17+F18,1)</f>
        <v>0</v>
      </c>
      <c r="G19" s="1962">
        <f>ROUND(G17+G18,1)</f>
        <v>0</v>
      </c>
      <c r="H19" s="1962">
        <f>ROUND(H17+H18,1)</f>
        <v>0</v>
      </c>
      <c r="I19" s="1962">
        <f>+'ANEXA 35 b1'!F19+'ANEXA 35 b1'!G19-'ANEXA 35 b2'!C19</f>
        <v>0</v>
      </c>
      <c r="J19" s="1962">
        <f>J17</f>
        <v>0</v>
      </c>
      <c r="K19" s="2197" t="s">
        <v>212</v>
      </c>
      <c r="L19" s="2197" t="s">
        <v>212</v>
      </c>
      <c r="M19" s="2197" t="s">
        <v>212</v>
      </c>
      <c r="N19" s="2197" t="s">
        <v>212</v>
      </c>
      <c r="O19" s="2197" t="s">
        <v>212</v>
      </c>
      <c r="P19" s="2223" t="s">
        <v>212</v>
      </c>
      <c r="Q19" s="416" t="str">
        <f>IF(I19&lt;&gt;J19," eroare "," ")</f>
        <v xml:space="preserve"> </v>
      </c>
      <c r="R19" s="2064" t="str">
        <f>IF(I19&lt;&gt;J19," eroare "," ")</f>
        <v xml:space="preserve"> </v>
      </c>
      <c r="S19" s="418"/>
      <c r="T19" s="373"/>
      <c r="U19" s="373"/>
      <c r="V19" s="373"/>
      <c r="W19" s="373"/>
      <c r="X19" s="373"/>
      <c r="Y19" s="373"/>
      <c r="Z19" s="373"/>
      <c r="AA19" s="374"/>
      <c r="AB19" s="374"/>
      <c r="AC19" s="374"/>
      <c r="AD19" s="374"/>
      <c r="AE19" s="374"/>
      <c r="AF19" s="374"/>
      <c r="AG19" s="374"/>
      <c r="AH19" s="374"/>
      <c r="AI19" s="374"/>
      <c r="AJ19" s="374"/>
      <c r="AK19" s="374"/>
      <c r="AL19" s="374"/>
      <c r="AM19" s="374"/>
      <c r="AN19" s="374"/>
    </row>
    <row r="20" spans="1:40" ht="18" customHeight="1">
      <c r="A20" s="2200" t="s">
        <v>1130</v>
      </c>
      <c r="B20" s="2196" t="s">
        <v>104</v>
      </c>
      <c r="C20" s="1962"/>
      <c r="D20" s="1963"/>
      <c r="E20" s="1962"/>
      <c r="F20" s="1962"/>
      <c r="G20" s="1962"/>
      <c r="H20" s="1962"/>
      <c r="I20" s="1962">
        <f>+'ANEXA 35 b1'!F20+'ANEXA 35 b1'!G20-'ANEXA 35 b2'!C20</f>
        <v>0</v>
      </c>
      <c r="J20" s="1962"/>
      <c r="K20" s="393"/>
      <c r="L20" s="393"/>
      <c r="M20" s="393"/>
      <c r="N20" s="393"/>
      <c r="O20" s="393"/>
      <c r="P20" s="2201"/>
      <c r="Q20" s="417"/>
      <c r="R20" s="417"/>
      <c r="S20" s="414"/>
      <c r="T20" s="373"/>
      <c r="U20" s="373"/>
      <c r="V20" s="373"/>
      <c r="W20" s="373"/>
      <c r="X20" s="373"/>
      <c r="Y20" s="373"/>
      <c r="Z20" s="373"/>
      <c r="AA20" s="374"/>
      <c r="AB20" s="374"/>
      <c r="AC20" s="374"/>
      <c r="AD20" s="374"/>
      <c r="AE20" s="374"/>
      <c r="AF20" s="374"/>
      <c r="AG20" s="374"/>
      <c r="AH20" s="374"/>
      <c r="AI20" s="374"/>
      <c r="AJ20" s="374"/>
      <c r="AK20" s="374"/>
      <c r="AL20" s="374"/>
      <c r="AM20" s="374"/>
      <c r="AN20" s="374"/>
    </row>
    <row r="21" spans="1:40" ht="24" customHeight="1">
      <c r="A21" s="2202" t="s">
        <v>1183</v>
      </c>
      <c r="B21" s="2196" t="s">
        <v>107</v>
      </c>
      <c r="C21" s="393">
        <f t="shared" ref="C21:C37" si="0">ROUND(D21+E21+F21+G21+H21,1)</f>
        <v>0</v>
      </c>
      <c r="D21" s="390"/>
      <c r="E21" s="390"/>
      <c r="F21" s="390"/>
      <c r="G21" s="390"/>
      <c r="H21" s="390"/>
      <c r="I21" s="393">
        <f>+'ANEXA 35 b1'!F21+'ANEXA 35 b1'!G21-'ANEXA 35 b2'!C21</f>
        <v>0</v>
      </c>
      <c r="J21" s="2197" t="s">
        <v>212</v>
      </c>
      <c r="K21" s="390"/>
      <c r="L21" s="390"/>
      <c r="M21" s="390"/>
      <c r="N21" s="390"/>
      <c r="O21" s="390"/>
      <c r="P21" s="2203"/>
      <c r="Q21" s="416" t="str">
        <f t="shared" ref="Q21:Q33" si="1">IF(I21&lt;&gt;K21+L21++M21+N21+O21+P21," eroare "," ")</f>
        <v xml:space="preserve"> </v>
      </c>
      <c r="R21" s="2064" t="str">
        <f t="shared" ref="R21:R33" si="2">IF(I21&lt;&gt;K21+L21+M21+N21+O21+P21," eroare "," ")</f>
        <v xml:space="preserve"> </v>
      </c>
      <c r="S21" s="414"/>
      <c r="T21" s="373"/>
      <c r="U21" s="373"/>
      <c r="V21" s="373"/>
      <c r="W21" s="373"/>
      <c r="X21" s="373"/>
      <c r="Y21" s="373"/>
      <c r="Z21" s="373"/>
      <c r="AA21" s="374"/>
      <c r="AB21" s="374"/>
      <c r="AC21" s="374"/>
      <c r="AD21" s="374"/>
      <c r="AE21" s="374"/>
      <c r="AF21" s="374"/>
      <c r="AG21" s="374"/>
      <c r="AH21" s="374"/>
      <c r="AI21" s="374"/>
      <c r="AJ21" s="374"/>
      <c r="AK21" s="374"/>
      <c r="AL21" s="374"/>
      <c r="AM21" s="374"/>
      <c r="AN21" s="374"/>
    </row>
    <row r="22" spans="1:40">
      <c r="A22" s="2202" t="s">
        <v>1184</v>
      </c>
      <c r="B22" s="2196" t="s">
        <v>110</v>
      </c>
      <c r="C22" s="393">
        <f t="shared" si="0"/>
        <v>0</v>
      </c>
      <c r="D22" s="390"/>
      <c r="E22" s="390"/>
      <c r="F22" s="390"/>
      <c r="G22" s="390"/>
      <c r="H22" s="390"/>
      <c r="I22" s="393">
        <f>+'ANEXA 35 b1'!F22+'ANEXA 35 b1'!G22-'ANEXA 35 b2'!C22</f>
        <v>0</v>
      </c>
      <c r="J22" s="2197" t="s">
        <v>212</v>
      </c>
      <c r="K22" s="390"/>
      <c r="L22" s="390"/>
      <c r="M22" s="390"/>
      <c r="N22" s="390"/>
      <c r="O22" s="390"/>
      <c r="P22" s="2203"/>
      <c r="Q22" s="416" t="str">
        <f t="shared" si="1"/>
        <v xml:space="preserve"> </v>
      </c>
      <c r="R22" s="2064" t="str">
        <f t="shared" si="2"/>
        <v xml:space="preserve"> </v>
      </c>
      <c r="S22" s="414"/>
      <c r="T22" s="373"/>
      <c r="U22" s="373"/>
      <c r="V22" s="373"/>
      <c r="W22" s="373"/>
      <c r="X22" s="373"/>
      <c r="Y22" s="373"/>
      <c r="Z22" s="373"/>
      <c r="AA22" s="374"/>
      <c r="AB22" s="374"/>
      <c r="AC22" s="374"/>
      <c r="AD22" s="374"/>
      <c r="AE22" s="374"/>
      <c r="AF22" s="374"/>
      <c r="AG22" s="374"/>
      <c r="AH22" s="374"/>
      <c r="AI22" s="374"/>
      <c r="AJ22" s="374"/>
      <c r="AK22" s="374"/>
      <c r="AL22" s="374"/>
      <c r="AM22" s="374"/>
      <c r="AN22" s="374"/>
    </row>
    <row r="23" spans="1:40" ht="24">
      <c r="A23" s="2204" t="s">
        <v>1132</v>
      </c>
      <c r="B23" s="348" t="s">
        <v>112</v>
      </c>
      <c r="C23" s="393">
        <f t="shared" si="0"/>
        <v>0</v>
      </c>
      <c r="D23" s="393">
        <f>+D24+D25+D26+D27+D28+D29+D30+D31</f>
        <v>0</v>
      </c>
      <c r="E23" s="393">
        <f>+E24+E25+E26+E27+E28+E29+E30+E31</f>
        <v>0</v>
      </c>
      <c r="F23" s="393">
        <f>+F24+F25+F26+F27+F28+F29+F30+F31</f>
        <v>0</v>
      </c>
      <c r="G23" s="393">
        <f>+G24+G25+G26+G27+G28+G29+G30+G31</f>
        <v>0</v>
      </c>
      <c r="H23" s="393">
        <f>+H24+H25+H26+H27+H28+H29+H30+H31</f>
        <v>0</v>
      </c>
      <c r="I23" s="393">
        <f>+'ANEXA 35 b1'!F23+'ANEXA 35 b1'!G23-'ANEXA 35 b2'!C23</f>
        <v>0</v>
      </c>
      <c r="J23" s="2197" t="s">
        <v>212</v>
      </c>
      <c r="K23" s="393">
        <f t="shared" ref="K23:P23" si="3">+K24+K25+K26+K27+K28+K29+K30+K31</f>
        <v>0</v>
      </c>
      <c r="L23" s="393">
        <f t="shared" si="3"/>
        <v>0</v>
      </c>
      <c r="M23" s="393">
        <f t="shared" si="3"/>
        <v>0</v>
      </c>
      <c r="N23" s="393">
        <f t="shared" si="3"/>
        <v>0</v>
      </c>
      <c r="O23" s="393">
        <f t="shared" si="3"/>
        <v>0</v>
      </c>
      <c r="P23" s="2201">
        <f t="shared" si="3"/>
        <v>0</v>
      </c>
      <c r="Q23" s="416" t="str">
        <f t="shared" si="1"/>
        <v xml:space="preserve"> </v>
      </c>
      <c r="R23" s="2064" t="str">
        <f t="shared" si="2"/>
        <v xml:space="preserve"> </v>
      </c>
      <c r="S23" s="414"/>
      <c r="T23" s="373"/>
      <c r="U23" s="373"/>
      <c r="V23" s="373"/>
      <c r="W23" s="373"/>
      <c r="X23" s="373"/>
      <c r="Y23" s="373"/>
      <c r="Z23" s="373"/>
      <c r="AA23" s="374"/>
      <c r="AB23" s="374"/>
      <c r="AC23" s="374"/>
      <c r="AD23" s="374"/>
      <c r="AE23" s="374"/>
      <c r="AF23" s="374"/>
      <c r="AG23" s="374"/>
      <c r="AH23" s="374"/>
      <c r="AI23" s="374"/>
      <c r="AJ23" s="374"/>
      <c r="AK23" s="374"/>
      <c r="AL23" s="374"/>
      <c r="AM23" s="374"/>
      <c r="AN23" s="374"/>
    </row>
    <row r="24" spans="1:40" ht="24">
      <c r="A24" s="2204" t="s">
        <v>1133</v>
      </c>
      <c r="B24" s="348" t="s">
        <v>114</v>
      </c>
      <c r="C24" s="393">
        <f t="shared" si="0"/>
        <v>0</v>
      </c>
      <c r="D24" s="393"/>
      <c r="E24" s="393"/>
      <c r="F24" s="393"/>
      <c r="G24" s="393"/>
      <c r="H24" s="393"/>
      <c r="I24" s="393">
        <f>+'ANEXA 35 b1'!F24+'ANEXA 35 b1'!G24-'ANEXA 35 b2'!C24</f>
        <v>0</v>
      </c>
      <c r="J24" s="2197" t="s">
        <v>212</v>
      </c>
      <c r="K24" s="393"/>
      <c r="L24" s="393"/>
      <c r="M24" s="393"/>
      <c r="N24" s="393"/>
      <c r="O24" s="393"/>
      <c r="P24" s="2201"/>
      <c r="Q24" s="416" t="str">
        <f t="shared" si="1"/>
        <v xml:space="preserve"> </v>
      </c>
      <c r="R24" s="2064" t="str">
        <f t="shared" si="2"/>
        <v xml:space="preserve"> </v>
      </c>
      <c r="S24" s="414"/>
      <c r="T24" s="373"/>
      <c r="U24" s="373"/>
      <c r="V24" s="373"/>
      <c r="W24" s="373"/>
      <c r="X24" s="373"/>
      <c r="Y24" s="373"/>
      <c r="Z24" s="373"/>
      <c r="AA24" s="374"/>
      <c r="AB24" s="374"/>
      <c r="AC24" s="374"/>
      <c r="AD24" s="374"/>
      <c r="AE24" s="374"/>
      <c r="AF24" s="374"/>
      <c r="AG24" s="374"/>
      <c r="AH24" s="374"/>
      <c r="AI24" s="374"/>
      <c r="AJ24" s="374"/>
      <c r="AK24" s="374"/>
      <c r="AL24" s="374"/>
      <c r="AM24" s="374"/>
      <c r="AN24" s="374"/>
    </row>
    <row r="25" spans="1:40">
      <c r="A25" s="2204" t="s">
        <v>1134</v>
      </c>
      <c r="B25" s="348" t="s">
        <v>345</v>
      </c>
      <c r="C25" s="393">
        <f t="shared" si="0"/>
        <v>0</v>
      </c>
      <c r="D25" s="393"/>
      <c r="E25" s="393"/>
      <c r="F25" s="393"/>
      <c r="G25" s="393"/>
      <c r="H25" s="393"/>
      <c r="I25" s="393">
        <f>+'ANEXA 35 b1'!F25+'ANEXA 35 b1'!G25-'ANEXA 35 b2'!C25</f>
        <v>0</v>
      </c>
      <c r="J25" s="2197" t="s">
        <v>212</v>
      </c>
      <c r="K25" s="393"/>
      <c r="L25" s="393"/>
      <c r="M25" s="393"/>
      <c r="N25" s="393"/>
      <c r="O25" s="393"/>
      <c r="P25" s="2201"/>
      <c r="Q25" s="416" t="str">
        <f t="shared" si="1"/>
        <v xml:space="preserve"> </v>
      </c>
      <c r="R25" s="2064" t="str">
        <f t="shared" si="2"/>
        <v xml:space="preserve"> </v>
      </c>
      <c r="S25" s="414"/>
      <c r="T25" s="373"/>
      <c r="U25" s="373"/>
      <c r="V25" s="373"/>
      <c r="W25" s="373"/>
      <c r="X25" s="373"/>
      <c r="Y25" s="373"/>
      <c r="Z25" s="373"/>
      <c r="AA25" s="374"/>
      <c r="AB25" s="374"/>
      <c r="AC25" s="374"/>
      <c r="AD25" s="374"/>
      <c r="AE25" s="374"/>
      <c r="AF25" s="374"/>
      <c r="AG25" s="374"/>
      <c r="AH25" s="374"/>
      <c r="AI25" s="374"/>
      <c r="AJ25" s="374"/>
      <c r="AK25" s="374"/>
      <c r="AL25" s="374"/>
      <c r="AM25" s="374"/>
      <c r="AN25" s="374"/>
    </row>
    <row r="26" spans="1:40" ht="36">
      <c r="A26" s="2204" t="s">
        <v>1135</v>
      </c>
      <c r="B26" s="348" t="s">
        <v>33</v>
      </c>
      <c r="C26" s="393">
        <f t="shared" si="0"/>
        <v>0</v>
      </c>
      <c r="D26" s="393"/>
      <c r="E26" s="393"/>
      <c r="F26" s="393"/>
      <c r="G26" s="393"/>
      <c r="H26" s="393"/>
      <c r="I26" s="393">
        <f>+'ANEXA 35 b1'!F26+'ANEXA 35 b1'!G26-'ANEXA 35 b2'!C26</f>
        <v>0</v>
      </c>
      <c r="J26" s="2197" t="s">
        <v>212</v>
      </c>
      <c r="K26" s="393"/>
      <c r="L26" s="393"/>
      <c r="M26" s="393"/>
      <c r="N26" s="393"/>
      <c r="O26" s="393"/>
      <c r="P26" s="2201"/>
      <c r="Q26" s="416" t="str">
        <f t="shared" si="1"/>
        <v xml:space="preserve"> </v>
      </c>
      <c r="R26" s="2064" t="str">
        <f t="shared" si="2"/>
        <v xml:space="preserve"> </v>
      </c>
      <c r="S26" s="414"/>
      <c r="T26" s="373"/>
      <c r="U26" s="373"/>
      <c r="V26" s="373"/>
      <c r="W26" s="373"/>
      <c r="X26" s="373"/>
      <c r="Y26" s="373"/>
      <c r="Z26" s="373"/>
      <c r="AA26" s="374"/>
      <c r="AB26" s="374"/>
      <c r="AC26" s="374"/>
      <c r="AD26" s="374"/>
      <c r="AE26" s="374"/>
      <c r="AF26" s="374"/>
      <c r="AG26" s="374"/>
      <c r="AH26" s="374"/>
      <c r="AI26" s="374"/>
      <c r="AJ26" s="374"/>
      <c r="AK26" s="374"/>
      <c r="AL26" s="374"/>
      <c r="AM26" s="374"/>
      <c r="AN26" s="374"/>
    </row>
    <row r="27" spans="1:40" ht="36">
      <c r="A27" s="2204" t="s">
        <v>1136</v>
      </c>
      <c r="B27" s="348" t="s">
        <v>434</v>
      </c>
      <c r="C27" s="393">
        <f t="shared" si="0"/>
        <v>0</v>
      </c>
      <c r="D27" s="393"/>
      <c r="E27" s="393"/>
      <c r="F27" s="393"/>
      <c r="G27" s="393"/>
      <c r="H27" s="393"/>
      <c r="I27" s="393">
        <f>+'ANEXA 35 b1'!F27+'ANEXA 35 b1'!G27-'ANEXA 35 b2'!C27</f>
        <v>0</v>
      </c>
      <c r="J27" s="2197" t="s">
        <v>212</v>
      </c>
      <c r="K27" s="393"/>
      <c r="L27" s="393"/>
      <c r="M27" s="393"/>
      <c r="N27" s="393"/>
      <c r="O27" s="393"/>
      <c r="P27" s="2201"/>
      <c r="Q27" s="416" t="str">
        <f t="shared" si="1"/>
        <v xml:space="preserve"> </v>
      </c>
      <c r="R27" s="2064" t="str">
        <f t="shared" si="2"/>
        <v xml:space="preserve"> </v>
      </c>
      <c r="S27" s="414"/>
      <c r="T27" s="373"/>
      <c r="U27" s="373"/>
      <c r="V27" s="373"/>
      <c r="W27" s="373"/>
      <c r="X27" s="373"/>
      <c r="Y27" s="373"/>
      <c r="Z27" s="373"/>
      <c r="AA27" s="374"/>
      <c r="AB27" s="374"/>
      <c r="AC27" s="374"/>
      <c r="AD27" s="374"/>
      <c r="AE27" s="374"/>
      <c r="AF27" s="374"/>
      <c r="AG27" s="374"/>
      <c r="AH27" s="374"/>
      <c r="AI27" s="374"/>
      <c r="AJ27" s="374"/>
      <c r="AK27" s="374"/>
      <c r="AL27" s="374"/>
      <c r="AM27" s="374"/>
      <c r="AN27" s="374"/>
    </row>
    <row r="28" spans="1:40">
      <c r="A28" s="2204" t="s">
        <v>1137</v>
      </c>
      <c r="B28" s="348" t="s">
        <v>436</v>
      </c>
      <c r="C28" s="393">
        <f t="shared" si="0"/>
        <v>0</v>
      </c>
      <c r="D28" s="393"/>
      <c r="E28" s="393"/>
      <c r="F28" s="393"/>
      <c r="G28" s="393"/>
      <c r="H28" s="393"/>
      <c r="I28" s="393">
        <f>+'ANEXA 35 b1'!F28+'ANEXA 35 b1'!G28-'ANEXA 35 b2'!C28</f>
        <v>0</v>
      </c>
      <c r="J28" s="2197" t="s">
        <v>212</v>
      </c>
      <c r="K28" s="393"/>
      <c r="L28" s="393"/>
      <c r="M28" s="393"/>
      <c r="N28" s="393"/>
      <c r="O28" s="393"/>
      <c r="P28" s="2201"/>
      <c r="Q28" s="416" t="str">
        <f t="shared" si="1"/>
        <v xml:space="preserve"> </v>
      </c>
      <c r="R28" s="2064" t="str">
        <f t="shared" si="2"/>
        <v xml:space="preserve"> </v>
      </c>
      <c r="S28" s="414"/>
      <c r="T28" s="373"/>
      <c r="U28" s="373"/>
      <c r="V28" s="373"/>
      <c r="W28" s="373"/>
      <c r="X28" s="373"/>
      <c r="Y28" s="373"/>
      <c r="Z28" s="373"/>
      <c r="AA28" s="374"/>
      <c r="AB28" s="374"/>
      <c r="AC28" s="374"/>
      <c r="AD28" s="374"/>
      <c r="AE28" s="374"/>
      <c r="AF28" s="374"/>
      <c r="AG28" s="374"/>
      <c r="AH28" s="374"/>
      <c r="AI28" s="374"/>
      <c r="AJ28" s="374"/>
      <c r="AK28" s="374"/>
      <c r="AL28" s="374"/>
      <c r="AM28" s="374"/>
      <c r="AN28" s="374"/>
    </row>
    <row r="29" spans="1:40" ht="36">
      <c r="A29" s="2204" t="s">
        <v>1138</v>
      </c>
      <c r="B29" s="348" t="s">
        <v>438</v>
      </c>
      <c r="C29" s="393">
        <f t="shared" si="0"/>
        <v>0</v>
      </c>
      <c r="D29" s="393"/>
      <c r="E29" s="393"/>
      <c r="F29" s="393"/>
      <c r="G29" s="393"/>
      <c r="H29" s="393"/>
      <c r="I29" s="393">
        <f>+'ANEXA 35 b1'!F29+'ANEXA 35 b1'!G29-'ANEXA 35 b2'!C29</f>
        <v>0</v>
      </c>
      <c r="J29" s="2197" t="s">
        <v>212</v>
      </c>
      <c r="K29" s="393"/>
      <c r="L29" s="393"/>
      <c r="M29" s="393"/>
      <c r="N29" s="393"/>
      <c r="O29" s="393"/>
      <c r="P29" s="2201"/>
      <c r="Q29" s="416" t="str">
        <f t="shared" si="1"/>
        <v xml:space="preserve"> </v>
      </c>
      <c r="R29" s="2064" t="str">
        <f t="shared" si="2"/>
        <v xml:space="preserve"> </v>
      </c>
      <c r="S29" s="414"/>
      <c r="T29" s="373"/>
      <c r="U29" s="373"/>
      <c r="V29" s="373"/>
      <c r="W29" s="373"/>
      <c r="X29" s="373"/>
      <c r="Y29" s="373"/>
      <c r="Z29" s="373"/>
      <c r="AA29" s="374"/>
      <c r="AB29" s="374"/>
      <c r="AC29" s="374"/>
      <c r="AD29" s="374"/>
      <c r="AE29" s="374"/>
      <c r="AF29" s="374"/>
      <c r="AG29" s="374"/>
      <c r="AH29" s="374"/>
      <c r="AI29" s="374"/>
      <c r="AJ29" s="374"/>
      <c r="AK29" s="374"/>
      <c r="AL29" s="374"/>
      <c r="AM29" s="374"/>
      <c r="AN29" s="374"/>
    </row>
    <row r="30" spans="1:40">
      <c r="A30" s="2204" t="s">
        <v>1139</v>
      </c>
      <c r="B30" s="348" t="s">
        <v>440</v>
      </c>
      <c r="C30" s="393">
        <f t="shared" si="0"/>
        <v>0</v>
      </c>
      <c r="D30" s="393"/>
      <c r="E30" s="393"/>
      <c r="F30" s="393"/>
      <c r="G30" s="393"/>
      <c r="H30" s="393"/>
      <c r="I30" s="393">
        <f>+'ANEXA 35 b1'!F30+'ANEXA 35 b1'!G30-'ANEXA 35 b2'!C30</f>
        <v>0</v>
      </c>
      <c r="J30" s="2197" t="s">
        <v>212</v>
      </c>
      <c r="K30" s="393"/>
      <c r="L30" s="393"/>
      <c r="M30" s="393"/>
      <c r="N30" s="393"/>
      <c r="O30" s="393"/>
      <c r="P30" s="2201"/>
      <c r="Q30" s="416" t="str">
        <f t="shared" si="1"/>
        <v xml:space="preserve"> </v>
      </c>
      <c r="R30" s="2064" t="str">
        <f t="shared" si="2"/>
        <v xml:space="preserve"> </v>
      </c>
      <c r="S30" s="414"/>
      <c r="T30" s="373"/>
      <c r="U30" s="373"/>
      <c r="V30" s="373"/>
      <c r="W30" s="373"/>
      <c r="X30" s="373"/>
      <c r="Y30" s="373"/>
      <c r="Z30" s="373"/>
      <c r="AA30" s="374"/>
      <c r="AB30" s="374"/>
      <c r="AC30" s="374"/>
      <c r="AD30" s="374"/>
      <c r="AE30" s="374"/>
      <c r="AF30" s="374"/>
      <c r="AG30" s="374"/>
      <c r="AH30" s="374"/>
      <c r="AI30" s="374"/>
      <c r="AJ30" s="374"/>
      <c r="AK30" s="374"/>
      <c r="AL30" s="374"/>
      <c r="AM30" s="374"/>
      <c r="AN30" s="374"/>
    </row>
    <row r="31" spans="1:40" ht="24">
      <c r="A31" s="2204" t="s">
        <v>1185</v>
      </c>
      <c r="B31" s="348" t="s">
        <v>442</v>
      </c>
      <c r="C31" s="393">
        <f t="shared" si="0"/>
        <v>0</v>
      </c>
      <c r="D31" s="390"/>
      <c r="E31" s="390">
        <v>0</v>
      </c>
      <c r="F31" s="390">
        <v>0</v>
      </c>
      <c r="G31" s="390">
        <v>0</v>
      </c>
      <c r="H31" s="390"/>
      <c r="I31" s="393">
        <f>+'ANEXA 35 b1'!F31+'ANEXA 35 b1'!G31-'ANEXA 35 b2'!C31</f>
        <v>0</v>
      </c>
      <c r="J31" s="2197" t="s">
        <v>212</v>
      </c>
      <c r="K31" s="390"/>
      <c r="L31" s="390"/>
      <c r="M31" s="390"/>
      <c r="N31" s="390"/>
      <c r="O31" s="390"/>
      <c r="P31" s="2203"/>
      <c r="Q31" s="416" t="str">
        <f t="shared" si="1"/>
        <v xml:space="preserve"> </v>
      </c>
      <c r="R31" s="2064" t="str">
        <f t="shared" si="2"/>
        <v xml:space="preserve"> </v>
      </c>
      <c r="S31" s="414"/>
      <c r="T31" s="373"/>
      <c r="U31" s="373"/>
      <c r="V31" s="373"/>
      <c r="W31" s="373"/>
      <c r="X31" s="373"/>
      <c r="Y31" s="373"/>
      <c r="Z31" s="373"/>
      <c r="AA31" s="374"/>
      <c r="AB31" s="374"/>
      <c r="AC31" s="374"/>
      <c r="AD31" s="374"/>
      <c r="AE31" s="374"/>
      <c r="AF31" s="374"/>
      <c r="AG31" s="374"/>
      <c r="AH31" s="374"/>
      <c r="AI31" s="374"/>
      <c r="AJ31" s="374"/>
      <c r="AK31" s="374"/>
      <c r="AL31" s="374"/>
      <c r="AM31" s="374"/>
      <c r="AN31" s="374"/>
    </row>
    <row r="32" spans="1:40" ht="36.75">
      <c r="A32" s="2205" t="s">
        <v>1143</v>
      </c>
      <c r="B32" s="348" t="s">
        <v>444</v>
      </c>
      <c r="C32" s="393">
        <f t="shared" si="0"/>
        <v>0</v>
      </c>
      <c r="D32" s="390"/>
      <c r="E32" s="390"/>
      <c r="F32" s="390"/>
      <c r="G32" s="390"/>
      <c r="H32" s="390"/>
      <c r="I32" s="393">
        <f>+'ANEXA 35 b1'!F32+'ANEXA 35 b1'!G32-'ANEXA 35 b2'!C32</f>
        <v>0</v>
      </c>
      <c r="J32" s="2197" t="s">
        <v>212</v>
      </c>
      <c r="K32" s="390"/>
      <c r="L32" s="390"/>
      <c r="M32" s="390"/>
      <c r="N32" s="390"/>
      <c r="O32" s="390"/>
      <c r="P32" s="2203"/>
      <c r="Q32" s="416" t="str">
        <f t="shared" si="1"/>
        <v xml:space="preserve"> </v>
      </c>
      <c r="R32" s="2064" t="str">
        <f t="shared" si="2"/>
        <v xml:space="preserve"> </v>
      </c>
      <c r="S32" s="414"/>
      <c r="T32" s="373"/>
      <c r="U32" s="373"/>
      <c r="V32" s="373"/>
      <c r="W32" s="373"/>
      <c r="X32" s="373"/>
      <c r="Y32" s="373"/>
      <c r="Z32" s="373"/>
      <c r="AA32" s="374"/>
      <c r="AB32" s="374"/>
      <c r="AC32" s="374"/>
      <c r="AD32" s="374"/>
      <c r="AE32" s="374"/>
      <c r="AF32" s="374"/>
      <c r="AG32" s="374"/>
      <c r="AH32" s="374"/>
      <c r="AI32" s="374"/>
      <c r="AJ32" s="374"/>
      <c r="AK32" s="374"/>
      <c r="AL32" s="374"/>
      <c r="AM32" s="374"/>
      <c r="AN32" s="374"/>
    </row>
    <row r="33" spans="1:40" ht="36">
      <c r="A33" s="2206" t="s">
        <v>1186</v>
      </c>
      <c r="B33" s="348" t="s">
        <v>446</v>
      </c>
      <c r="C33" s="393">
        <f t="shared" si="0"/>
        <v>0</v>
      </c>
      <c r="D33" s="390"/>
      <c r="E33" s="390"/>
      <c r="F33" s="390"/>
      <c r="G33" s="390"/>
      <c r="H33" s="390"/>
      <c r="I33" s="393">
        <f>+'ANEXA 35 b1'!F33+'ANEXA 35 b1'!G33-'ANEXA 35 b2'!C33</f>
        <v>0</v>
      </c>
      <c r="J33" s="2197" t="s">
        <v>212</v>
      </c>
      <c r="K33" s="390"/>
      <c r="L33" s="390"/>
      <c r="M33" s="390"/>
      <c r="N33" s="390"/>
      <c r="O33" s="390"/>
      <c r="P33" s="2203"/>
      <c r="Q33" s="416" t="str">
        <f t="shared" si="1"/>
        <v xml:space="preserve"> </v>
      </c>
      <c r="R33" s="2064" t="str">
        <f t="shared" si="2"/>
        <v xml:space="preserve"> </v>
      </c>
      <c r="S33" s="414"/>
      <c r="T33" s="373"/>
      <c r="U33" s="373"/>
      <c r="V33" s="373"/>
      <c r="W33" s="373"/>
      <c r="X33" s="373"/>
      <c r="Y33" s="373"/>
      <c r="Z33" s="373"/>
      <c r="AA33" s="374"/>
      <c r="AB33" s="374"/>
      <c r="AC33" s="374"/>
      <c r="AD33" s="374"/>
      <c r="AE33" s="374"/>
      <c r="AF33" s="374"/>
      <c r="AG33" s="374"/>
      <c r="AH33" s="374"/>
      <c r="AI33" s="374"/>
      <c r="AJ33" s="374"/>
      <c r="AK33" s="374"/>
      <c r="AL33" s="374"/>
      <c r="AM33" s="374"/>
      <c r="AN33" s="374"/>
    </row>
    <row r="34" spans="1:40" ht="24">
      <c r="A34" s="2206" t="s">
        <v>1187</v>
      </c>
      <c r="B34" s="348" t="s">
        <v>1106</v>
      </c>
      <c r="C34" s="393">
        <f t="shared" si="0"/>
        <v>0</v>
      </c>
      <c r="D34" s="390"/>
      <c r="E34" s="390"/>
      <c r="F34" s="390"/>
      <c r="G34" s="390"/>
      <c r="H34" s="390"/>
      <c r="I34" s="393">
        <f>+'ANEXA 35 b1'!F34+'ANEXA 35 b1'!G34-'ANEXA 35 b2'!C34</f>
        <v>0</v>
      </c>
      <c r="J34" s="2197" t="s">
        <v>212</v>
      </c>
      <c r="K34" s="2197" t="s">
        <v>212</v>
      </c>
      <c r="L34" s="2197" t="s">
        <v>212</v>
      </c>
      <c r="M34" s="2197" t="s">
        <v>212</v>
      </c>
      <c r="N34" s="2197" t="s">
        <v>212</v>
      </c>
      <c r="O34" s="2197" t="s">
        <v>212</v>
      </c>
      <c r="P34" s="2223" t="s">
        <v>212</v>
      </c>
      <c r="Q34" s="417"/>
      <c r="R34" s="417"/>
      <c r="S34" s="414"/>
      <c r="T34" s="373"/>
      <c r="U34" s="373"/>
      <c r="V34" s="373"/>
      <c r="W34" s="373"/>
      <c r="X34" s="373"/>
      <c r="Y34" s="373"/>
      <c r="Z34" s="373"/>
      <c r="AA34" s="374"/>
      <c r="AB34" s="374"/>
      <c r="AC34" s="374"/>
      <c r="AD34" s="374"/>
      <c r="AE34" s="374"/>
      <c r="AF34" s="374"/>
      <c r="AG34" s="374"/>
      <c r="AH34" s="374"/>
      <c r="AI34" s="374"/>
      <c r="AJ34" s="374"/>
      <c r="AK34" s="374"/>
      <c r="AL34" s="374"/>
      <c r="AM34" s="374"/>
      <c r="AN34" s="374"/>
    </row>
    <row r="35" spans="1:40">
      <c r="A35" s="2206" t="s">
        <v>1188</v>
      </c>
      <c r="B35" s="348" t="s">
        <v>713</v>
      </c>
      <c r="C35" s="393">
        <f t="shared" si="0"/>
        <v>0</v>
      </c>
      <c r="D35" s="390"/>
      <c r="E35" s="390"/>
      <c r="F35" s="390"/>
      <c r="G35" s="390"/>
      <c r="H35" s="390"/>
      <c r="I35" s="393">
        <f>+'ANEXA 35 b1'!F35+'ANEXA 35 b1'!G35-'ANEXA 35 b2'!C35</f>
        <v>0</v>
      </c>
      <c r="J35" s="2197" t="s">
        <v>212</v>
      </c>
      <c r="K35" s="2197"/>
      <c r="L35" s="2197" t="s">
        <v>212</v>
      </c>
      <c r="M35" s="2197" t="s">
        <v>212</v>
      </c>
      <c r="N35" s="2197" t="s">
        <v>212</v>
      </c>
      <c r="O35" s="2197" t="s">
        <v>212</v>
      </c>
      <c r="P35" s="2223" t="s">
        <v>212</v>
      </c>
      <c r="Q35" s="416" t="str">
        <f>IF(I35&lt;&gt;K35," eroare "," ")</f>
        <v xml:space="preserve"> </v>
      </c>
      <c r="R35" s="2064" t="str">
        <f>IF(I35&lt;&gt;K35," eroare "," ")</f>
        <v xml:space="preserve"> </v>
      </c>
      <c r="S35" s="414"/>
      <c r="T35" s="373"/>
      <c r="U35" s="373"/>
      <c r="V35" s="373"/>
      <c r="W35" s="373"/>
      <c r="X35" s="373"/>
      <c r="Y35" s="373"/>
      <c r="Z35" s="373"/>
      <c r="AA35" s="374"/>
      <c r="AB35" s="374"/>
      <c r="AC35" s="374"/>
      <c r="AD35" s="374"/>
      <c r="AE35" s="374"/>
      <c r="AF35" s="374"/>
      <c r="AG35" s="374"/>
      <c r="AH35" s="374"/>
      <c r="AI35" s="374"/>
      <c r="AJ35" s="374"/>
      <c r="AK35" s="374"/>
      <c r="AL35" s="374"/>
      <c r="AM35" s="374"/>
      <c r="AN35" s="374"/>
    </row>
    <row r="36" spans="1:40">
      <c r="A36" s="2198" t="s">
        <v>1189</v>
      </c>
      <c r="B36" s="348" t="s">
        <v>725</v>
      </c>
      <c r="C36" s="1962">
        <f t="shared" si="0"/>
        <v>0</v>
      </c>
      <c r="D36" s="1962">
        <f>ROUND(D21+D22+D23+D32+D33+D34+D35,1)</f>
        <v>0</v>
      </c>
      <c r="E36" s="1962">
        <f>ROUND(E21+E22+E23+E32+E33+E34+E35,1)</f>
        <v>0</v>
      </c>
      <c r="F36" s="1962">
        <f>ROUND(F21+F22+F23+F32+F33+F34+F35,1)</f>
        <v>0</v>
      </c>
      <c r="G36" s="1962">
        <f>ROUND(G21+G22+G23+G32+G33+G34+G35,1)</f>
        <v>0</v>
      </c>
      <c r="H36" s="1962">
        <f>ROUND(H21+H22+H23+H32+H33+H34+H35,1)</f>
        <v>0</v>
      </c>
      <c r="I36" s="1962">
        <f>+'ANEXA 35 b1'!F36+'ANEXA 35 b1'!G36-'ANEXA 35 b2'!C36</f>
        <v>0</v>
      </c>
      <c r="J36" s="2197" t="s">
        <v>212</v>
      </c>
      <c r="K36" s="419">
        <f>K21+K22+K23+K32+K33+K35</f>
        <v>0</v>
      </c>
      <c r="L36" s="419">
        <f>L21+L22+L23+L32+L33</f>
        <v>0</v>
      </c>
      <c r="M36" s="419">
        <f>M21+M22+M23+M32+M33</f>
        <v>0</v>
      </c>
      <c r="N36" s="419">
        <f>N21+N22+N23+N32+N33</f>
        <v>0</v>
      </c>
      <c r="O36" s="419">
        <f>O21+O22+O23+O32+O33</f>
        <v>0</v>
      </c>
      <c r="P36" s="2207">
        <f>P21+P22+P23+P32+P33</f>
        <v>0</v>
      </c>
      <c r="Q36" s="417"/>
      <c r="R36" s="417"/>
      <c r="S36" s="414"/>
      <c r="V36" s="373"/>
      <c r="W36" s="373"/>
      <c r="X36" s="373"/>
      <c r="Y36" s="373"/>
      <c r="Z36" s="373"/>
      <c r="AA36" s="374"/>
      <c r="AB36" s="374"/>
      <c r="AC36" s="374"/>
      <c r="AD36" s="374"/>
      <c r="AE36" s="374"/>
      <c r="AF36" s="374"/>
      <c r="AG36" s="374"/>
      <c r="AH36" s="374"/>
      <c r="AI36" s="374"/>
      <c r="AJ36" s="374"/>
      <c r="AK36" s="374"/>
      <c r="AL36" s="374"/>
      <c r="AM36" s="374"/>
      <c r="AN36" s="374"/>
    </row>
    <row r="37" spans="1:40">
      <c r="A37" s="2208" t="s">
        <v>1190</v>
      </c>
      <c r="B37" s="2209" t="s">
        <v>1191</v>
      </c>
      <c r="C37" s="2210">
        <f t="shared" si="0"/>
        <v>0</v>
      </c>
      <c r="D37" s="2210">
        <f>ROUND(D19+D36,1)</f>
        <v>0</v>
      </c>
      <c r="E37" s="2210">
        <f>ROUND(E19+E36,1)</f>
        <v>0</v>
      </c>
      <c r="F37" s="2210">
        <f>ROUND(F19+F36,1)</f>
        <v>0</v>
      </c>
      <c r="G37" s="2210">
        <f>ROUND(G19+G36,1)</f>
        <v>0</v>
      </c>
      <c r="H37" s="2210">
        <f>ROUND(H19+H36,1)</f>
        <v>0</v>
      </c>
      <c r="I37" s="2210">
        <f>+'ANEXA 35 b1'!F37+'ANEXA 35 b1'!G37-'ANEXA 35 b2'!C37</f>
        <v>0</v>
      </c>
      <c r="J37" s="2211">
        <f>J19</f>
        <v>0</v>
      </c>
      <c r="K37" s="2211">
        <f t="shared" ref="K37:P37" si="4">K36</f>
        <v>0</v>
      </c>
      <c r="L37" s="2211">
        <f t="shared" si="4"/>
        <v>0</v>
      </c>
      <c r="M37" s="2211">
        <f t="shared" si="4"/>
        <v>0</v>
      </c>
      <c r="N37" s="2211">
        <f t="shared" si="4"/>
        <v>0</v>
      </c>
      <c r="O37" s="2211">
        <f t="shared" si="4"/>
        <v>0</v>
      </c>
      <c r="P37" s="2212">
        <f t="shared" si="4"/>
        <v>0</v>
      </c>
      <c r="Q37" s="420">
        <f>J37+K37+L37+N37+P37</f>
        <v>0</v>
      </c>
      <c r="R37" s="417"/>
      <c r="S37" s="405" t="str">
        <f>IF('ANEXA 1'!E22&lt;&gt;I35," eroare "," ")</f>
        <v xml:space="preserve"> </v>
      </c>
      <c r="T37" s="373"/>
      <c r="U37" s="373"/>
      <c r="V37" s="373"/>
      <c r="W37" s="373"/>
      <c r="X37" s="373"/>
      <c r="Y37" s="373"/>
      <c r="Z37" s="373"/>
      <c r="AA37" s="374"/>
      <c r="AB37" s="374"/>
      <c r="AC37" s="374"/>
      <c r="AD37" s="374"/>
      <c r="AE37" s="374"/>
      <c r="AF37" s="374"/>
      <c r="AG37" s="374"/>
      <c r="AH37" s="374"/>
      <c r="AI37" s="374"/>
      <c r="AJ37" s="374"/>
      <c r="AK37" s="374"/>
      <c r="AL37" s="374"/>
      <c r="AM37" s="374"/>
      <c r="AN37" s="374"/>
    </row>
    <row r="38" spans="1:40" s="374" customFormat="1" ht="21.75" customHeight="1">
      <c r="I38" s="405" t="str">
        <f>IF('ANEXA 1'!E20+'ANEXA 1'!E21&lt;&gt;'ANEXA 35 a2'!O37+'ANEXA 35 a2'!P37+'ANEXA 35 a2'!Q37+I21+I22+I23+I32+I33+I34," eroare "," ")</f>
        <v xml:space="preserve"> eroare </v>
      </c>
      <c r="J38" s="418" t="str">
        <f>IF('ANEXA 34'!F8&lt;&gt;'ANEXA 35 b2'!J17," eroare "," ")</f>
        <v xml:space="preserve"> </v>
      </c>
      <c r="K38" s="418" t="str">
        <f>IF('ANEXA 34'!F9&lt;&gt;K21+K22+K23+K32+K33+K35," eroare "," ")</f>
        <v xml:space="preserve"> </v>
      </c>
      <c r="L38" s="418" t="str">
        <f>IF('ANEXA 34'!F10&lt;&gt;L21+L22+L23+L32+L33," eroare "," ")</f>
        <v xml:space="preserve"> </v>
      </c>
      <c r="M38" s="418"/>
      <c r="N38" s="418" t="str">
        <f>IF('ANEXA 34'!F13&lt;&gt;N21+N22+N23+N32+N33," eroare "," ")</f>
        <v xml:space="preserve"> </v>
      </c>
      <c r="O38" s="418"/>
      <c r="P38" s="418" t="str">
        <f>IF('ANEXA 34'!F14&lt;&gt;P21+P22+P23+P32+P33," eroare "," ")</f>
        <v xml:space="preserve"> </v>
      </c>
      <c r="Q38" s="405" t="str">
        <f>IF('ANEXA 34'!G14&lt;&gt;'ANEXA 35 b2'!Q37," eroare "," ")</f>
        <v xml:space="preserve"> </v>
      </c>
      <c r="R38" s="405" t="str">
        <f>IF('ANEXA 34'!G14&lt;&gt;'ANEXA 35 b2'!Q37," eroare "," ")</f>
        <v xml:space="preserve"> </v>
      </c>
      <c r="S38" s="414"/>
    </row>
    <row r="39" spans="1:40" s="374" customFormat="1" ht="19.5" customHeight="1">
      <c r="A39" s="354"/>
      <c r="B39" s="354"/>
      <c r="I39" s="405" t="str">
        <f>IF('ANEXA 1'!E22&lt;&gt;I35," eroare "," ")</f>
        <v xml:space="preserve"> </v>
      </c>
      <c r="Q39" s="409"/>
      <c r="R39" s="409"/>
      <c r="S39" s="414"/>
    </row>
    <row r="40" spans="1:40" s="374" customFormat="1" ht="18" customHeight="1">
      <c r="A40" s="4148" t="str">
        <f>'ANEXA 1'!B94</f>
        <v>DIRECTOR  GENERAL,</v>
      </c>
      <c r="B40" s="4148"/>
      <c r="C40" s="290"/>
      <c r="D40" s="4239">
        <f>+'ANEXA 1'!B99</f>
        <v>0</v>
      </c>
      <c r="E40" s="4239"/>
      <c r="F40" s="1616"/>
      <c r="I40" s="4164" t="str">
        <f>+'ANEXA 1'!D94</f>
        <v>DIRECTOR  EXECUTIV  ECONOMIC,</v>
      </c>
      <c r="J40" s="4164"/>
      <c r="K40" s="4164"/>
      <c r="M40" s="4243">
        <f>+'ANEXA 1'!D99</f>
        <v>0</v>
      </c>
      <c r="N40" s="4243"/>
      <c r="O40" s="4243"/>
      <c r="Q40" s="409"/>
      <c r="R40" s="409"/>
      <c r="S40" s="414"/>
    </row>
    <row r="41" spans="1:40" s="374" customFormat="1">
      <c r="A41" s="422"/>
      <c r="B41" s="422"/>
      <c r="C41" s="357"/>
      <c r="F41" s="1612"/>
      <c r="G41" s="1612"/>
      <c r="H41" s="1569"/>
      <c r="I41" s="377"/>
      <c r="J41" s="1613"/>
      <c r="K41" s="1613"/>
      <c r="L41" s="1066"/>
      <c r="M41" s="1072"/>
      <c r="N41" s="1614"/>
      <c r="O41" s="1614"/>
      <c r="P41" s="1614"/>
      <c r="Q41" s="409"/>
      <c r="R41" s="409"/>
      <c r="S41" s="414"/>
    </row>
    <row r="42" spans="1:40" s="374" customFormat="1" ht="19.5" customHeight="1">
      <c r="A42" s="4238" t="str">
        <f>+'ANEXA 1'!B96</f>
        <v>EC.ALBU DRINA</v>
      </c>
      <c r="B42" s="4238"/>
      <c r="C42" s="1615"/>
      <c r="D42" s="4240">
        <f>+'ANEXA 1'!B101</f>
        <v>0</v>
      </c>
      <c r="E42" s="4240"/>
      <c r="F42" s="1610"/>
      <c r="I42" s="4164" t="str">
        <f>+'ANEXA 1'!D96</f>
        <v>EC.BIRCU FLORINA</v>
      </c>
      <c r="J42" s="4164"/>
      <c r="K42" s="4164"/>
      <c r="M42" s="4231">
        <f>+'ANEXA 1'!D101</f>
        <v>0</v>
      </c>
      <c r="N42" s="4231"/>
      <c r="O42" s="4231"/>
      <c r="Q42" s="409"/>
      <c r="R42" s="409"/>
      <c r="S42" s="414"/>
    </row>
    <row r="43" spans="1:40" ht="15.75" customHeight="1">
      <c r="A43" s="4199">
        <f>'ANEXA 1'!B97</f>
        <v>0</v>
      </c>
      <c r="B43" s="4199"/>
      <c r="C43" s="1960"/>
      <c r="D43" s="1960"/>
      <c r="E43" s="408"/>
      <c r="F43" s="408"/>
      <c r="G43" s="408"/>
      <c r="H43" s="373"/>
      <c r="I43" s="373"/>
      <c r="L43" s="980"/>
      <c r="M43" s="980"/>
      <c r="N43" s="315"/>
      <c r="O43" s="335"/>
      <c r="P43" s="335"/>
      <c r="S43" s="414"/>
      <c r="T43" s="373"/>
      <c r="U43" s="373"/>
      <c r="V43" s="373"/>
      <c r="W43" s="373"/>
      <c r="X43" s="373"/>
      <c r="Y43" s="373"/>
      <c r="Z43" s="373"/>
      <c r="AA43" s="374"/>
      <c r="AB43" s="374"/>
      <c r="AC43" s="374"/>
      <c r="AD43" s="374"/>
      <c r="AE43" s="374"/>
      <c r="AF43" s="374"/>
      <c r="AG43" s="374"/>
      <c r="AH43" s="374"/>
      <c r="AI43" s="374"/>
      <c r="AJ43" s="374"/>
      <c r="AK43" s="374"/>
      <c r="AL43" s="374"/>
      <c r="AM43" s="374"/>
      <c r="AN43" s="374"/>
    </row>
    <row r="44" spans="1:40" ht="15" customHeight="1">
      <c r="A44" s="373"/>
      <c r="B44" s="373"/>
      <c r="C44" s="373"/>
      <c r="D44" s="373"/>
      <c r="E44" s="373"/>
      <c r="F44" s="373"/>
      <c r="G44" s="373"/>
      <c r="H44" s="373"/>
      <c r="I44" s="373"/>
      <c r="J44" s="373"/>
      <c r="K44" s="373"/>
      <c r="O44" s="373"/>
      <c r="P44" s="373"/>
      <c r="S44" s="373"/>
      <c r="T44" s="373"/>
      <c r="U44" s="373"/>
      <c r="V44" s="373"/>
      <c r="W44" s="373"/>
      <c r="X44" s="373"/>
      <c r="Y44" s="373"/>
      <c r="Z44" s="373"/>
      <c r="AA44" s="374"/>
      <c r="AB44" s="374"/>
      <c r="AC44" s="374"/>
      <c r="AD44" s="374"/>
      <c r="AE44" s="374"/>
      <c r="AF44" s="374"/>
      <c r="AG44" s="374"/>
      <c r="AH44" s="374"/>
      <c r="AI44" s="374"/>
      <c r="AJ44" s="374"/>
      <c r="AK44" s="374"/>
      <c r="AL44" s="374"/>
      <c r="AM44" s="374"/>
      <c r="AN44" s="374"/>
    </row>
    <row r="45" spans="1:40" ht="32.25" customHeight="1"/>
    <row r="47" spans="1:40" ht="27" customHeight="1"/>
    <row r="48" spans="1:40" ht="18" customHeight="1"/>
  </sheetData>
  <sheetProtection password="CF1D" sheet="1" objects="1" scenarios="1"/>
  <mergeCells count="31">
    <mergeCell ref="A43:B43"/>
    <mergeCell ref="A1:F1"/>
    <mergeCell ref="A3:P3"/>
    <mergeCell ref="A4:P4"/>
    <mergeCell ref="A7:A14"/>
    <mergeCell ref="B7:B14"/>
    <mergeCell ref="C7:H7"/>
    <mergeCell ref="I7:I14"/>
    <mergeCell ref="J7:P8"/>
    <mergeCell ref="C8:C14"/>
    <mergeCell ref="E8:H8"/>
    <mergeCell ref="P9:P14"/>
    <mergeCell ref="D9:D14"/>
    <mergeCell ref="E9:E14"/>
    <mergeCell ref="F9:F14"/>
    <mergeCell ref="G9:G14"/>
    <mergeCell ref="H9:H14"/>
    <mergeCell ref="M40:O40"/>
    <mergeCell ref="M42:O42"/>
    <mergeCell ref="O9:O13"/>
    <mergeCell ref="J9:J14"/>
    <mergeCell ref="K9:K14"/>
    <mergeCell ref="L9:L14"/>
    <mergeCell ref="M9:M13"/>
    <mergeCell ref="N9:N14"/>
    <mergeCell ref="A40:B40"/>
    <mergeCell ref="A42:B42"/>
    <mergeCell ref="D40:E40"/>
    <mergeCell ref="D42:E42"/>
    <mergeCell ref="I40:K40"/>
    <mergeCell ref="I42:K42"/>
  </mergeCells>
  <phoneticPr fontId="0" type="noConversion"/>
  <dataValidations count="1">
    <dataValidation type="whole" allowBlank="1" showErrorMessage="1" sqref="C17:P37">
      <formula1>-9.99999999999999E+28</formula1>
      <formula2>9.99999999999999E+29</formula2>
    </dataValidation>
  </dataValidations>
  <printOptions horizontalCentered="1"/>
  <pageMargins left="0" right="0.23622047244094491" top="0.39370078740157483" bottom="0.55118110236220474" header="0.51181102362204722" footer="0.51181102362204722"/>
  <pageSetup paperSize="9" scale="64" firstPageNumber="0" orientation="landscape" horizontalDpi="300" verticalDpi="300" r:id="rId1"/>
  <headerFooter alignWithMargins="0"/>
  <colBreaks count="2" manualBreakCount="2">
    <brk id="16" max="1048575" man="1"/>
    <brk id="1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9">
    <tabColor rgb="FFF2DCDB"/>
  </sheetPr>
  <dimension ref="A1:N63"/>
  <sheetViews>
    <sheetView showZeros="0" topLeftCell="A10" workbookViewId="0">
      <selection activeCell="I21" sqref="I21"/>
    </sheetView>
  </sheetViews>
  <sheetFormatPr defaultColWidth="9.140625" defaultRowHeight="12.75"/>
  <cols>
    <col min="1" max="1" width="10" style="423" customWidth="1"/>
    <col min="2" max="2" width="40.5703125" style="423" customWidth="1"/>
    <col min="3" max="3" width="13.42578125" style="423" customWidth="1"/>
    <col min="4" max="4" width="15.140625" style="423" customWidth="1"/>
    <col min="5" max="5" width="13.85546875" style="423" customWidth="1"/>
    <col min="6" max="6" width="11.7109375" style="423" customWidth="1"/>
    <col min="7" max="8" width="9.140625" style="423"/>
    <col min="9" max="9" width="13.7109375" style="1964" bestFit="1" customWidth="1"/>
    <col min="10" max="10" width="9.140625" style="423"/>
    <col min="11" max="11" width="11.7109375" style="423" bestFit="1" customWidth="1"/>
    <col min="12" max="16384" width="9.140625" style="423"/>
  </cols>
  <sheetData>
    <row r="1" spans="1:11" ht="15">
      <c r="A1" s="4265" t="str">
        <f>'ANEXA 1'!A1:E1</f>
        <v>CASA  DE  ASIGURĂRI  DE  SĂNĂTATE MEHEDINTI</v>
      </c>
      <c r="B1" s="4265"/>
      <c r="C1" s="4265"/>
      <c r="D1" s="4265"/>
      <c r="E1" s="4265"/>
      <c r="F1" s="424"/>
      <c r="G1" s="424"/>
    </row>
    <row r="2" spans="1:11" ht="15.75">
      <c r="A2" s="425"/>
      <c r="B2" s="425"/>
      <c r="C2" s="425"/>
      <c r="D2" s="425"/>
      <c r="E2" s="426" t="s">
        <v>1210</v>
      </c>
      <c r="F2" s="424"/>
      <c r="G2" s="424"/>
    </row>
    <row r="3" spans="1:11" ht="15.75">
      <c r="A3" s="427" t="s">
        <v>1211</v>
      </c>
      <c r="B3" s="428"/>
      <c r="C3" s="428"/>
      <c r="D3" s="428"/>
      <c r="E3" s="428"/>
      <c r="F3" s="424"/>
      <c r="G3" s="424"/>
    </row>
    <row r="4" spans="1:11" ht="15.75">
      <c r="A4" s="429"/>
      <c r="B4" s="428"/>
      <c r="C4" s="428"/>
      <c r="D4" s="428"/>
      <c r="E4" s="428"/>
      <c r="F4" s="424"/>
      <c r="G4" s="424"/>
    </row>
    <row r="5" spans="1:11" ht="31.5">
      <c r="A5" s="430" t="s">
        <v>1212</v>
      </c>
      <c r="B5" s="431" t="s">
        <v>1213</v>
      </c>
      <c r="C5" s="431"/>
      <c r="D5" s="431"/>
      <c r="E5" s="428"/>
      <c r="F5" s="424"/>
      <c r="G5" s="424"/>
    </row>
    <row r="6" spans="1:11" ht="15.75">
      <c r="A6" s="432">
        <v>11697800</v>
      </c>
      <c r="B6" s="433" t="s">
        <v>1214</v>
      </c>
      <c r="C6" s="433"/>
      <c r="D6" s="433"/>
      <c r="E6" s="434" t="s">
        <v>1215</v>
      </c>
      <c r="F6" s="435"/>
      <c r="G6" s="424"/>
    </row>
    <row r="7" spans="1:11" ht="47.25">
      <c r="A7" s="436" t="s">
        <v>1216</v>
      </c>
      <c r="B7" s="437" t="s">
        <v>1217</v>
      </c>
      <c r="C7" s="438" t="s">
        <v>1218</v>
      </c>
      <c r="D7" s="438" t="s">
        <v>1219</v>
      </c>
      <c r="E7" s="439" t="s">
        <v>898</v>
      </c>
      <c r="F7" s="424"/>
      <c r="G7" s="424"/>
    </row>
    <row r="8" spans="1:11" ht="15.75">
      <c r="A8" s="440">
        <v>0</v>
      </c>
      <c r="B8" s="441" t="s">
        <v>1220</v>
      </c>
      <c r="C8" s="442"/>
      <c r="D8" s="442"/>
      <c r="E8" s="443"/>
      <c r="F8" s="424"/>
      <c r="G8" s="424"/>
    </row>
    <row r="9" spans="1:11" ht="15.75">
      <c r="A9" s="444" t="s">
        <v>184</v>
      </c>
      <c r="B9" s="445" t="s">
        <v>809</v>
      </c>
      <c r="C9" s="446">
        <f>C19+C32+C45</f>
        <v>301149390</v>
      </c>
      <c r="D9" s="446">
        <f>D19+D32+D45</f>
        <v>197725910</v>
      </c>
      <c r="E9" s="447"/>
      <c r="F9" s="424"/>
      <c r="G9" s="424"/>
      <c r="K9" s="1964"/>
    </row>
    <row r="10" spans="1:11" ht="15.75">
      <c r="A10" s="444" t="s">
        <v>188</v>
      </c>
      <c r="B10" s="445" t="s">
        <v>810</v>
      </c>
      <c r="C10" s="446">
        <f>C20+C33+C46</f>
        <v>271888480</v>
      </c>
      <c r="D10" s="446">
        <f>D20+D33+D46</f>
        <v>165667490</v>
      </c>
      <c r="E10" s="447">
        <f>E20+E33+E46</f>
        <v>165431838</v>
      </c>
      <c r="F10" s="448"/>
      <c r="G10" s="424"/>
      <c r="K10" s="1964"/>
    </row>
    <row r="11" spans="1:11" ht="31.5" customHeight="1">
      <c r="A11" s="449"/>
      <c r="B11" s="450" t="s">
        <v>1221</v>
      </c>
      <c r="C11" s="451"/>
      <c r="D11" s="451"/>
      <c r="E11" s="452"/>
      <c r="F11" s="453"/>
      <c r="G11" s="424"/>
    </row>
    <row r="12" spans="1:11" s="456" customFormat="1" ht="18" customHeight="1">
      <c r="A12" s="449"/>
      <c r="B12" s="445" t="s">
        <v>809</v>
      </c>
      <c r="C12" s="454">
        <f>C9</f>
        <v>301149390</v>
      </c>
      <c r="D12" s="454">
        <f>D9</f>
        <v>197725910</v>
      </c>
      <c r="E12" s="455"/>
      <c r="F12" s="453"/>
      <c r="G12" s="453"/>
      <c r="I12" s="1965"/>
    </row>
    <row r="13" spans="1:11" s="456" customFormat="1" ht="18" customHeight="1">
      <c r="A13" s="457"/>
      <c r="B13" s="458" t="s">
        <v>810</v>
      </c>
      <c r="C13" s="459">
        <f>C10</f>
        <v>271888480</v>
      </c>
      <c r="D13" s="459">
        <f>D10</f>
        <v>165667490</v>
      </c>
      <c r="E13" s="460">
        <f>E10</f>
        <v>165431838</v>
      </c>
      <c r="F13" s="461"/>
      <c r="G13" s="453"/>
      <c r="I13" s="1965"/>
    </row>
    <row r="14" spans="1:11" s="456" customFormat="1" ht="15.75">
      <c r="A14" s="462"/>
      <c r="B14" s="91"/>
      <c r="C14" s="463"/>
      <c r="D14" s="464"/>
      <c r="E14" s="464"/>
      <c r="F14" s="465"/>
      <c r="G14" s="453"/>
      <c r="I14" s="1965"/>
    </row>
    <row r="15" spans="1:11" s="456" customFormat="1" ht="31.5">
      <c r="A15" s="430" t="s">
        <v>1222</v>
      </c>
      <c r="B15" s="431" t="s">
        <v>1816</v>
      </c>
      <c r="C15" s="431"/>
      <c r="D15" s="431"/>
      <c r="E15" s="428"/>
      <c r="F15" s="465"/>
      <c r="G15" s="453"/>
      <c r="I15" s="1965"/>
    </row>
    <row r="16" spans="1:11" s="456" customFormat="1" ht="21.75" customHeight="1">
      <c r="A16" s="466">
        <v>530</v>
      </c>
      <c r="B16" s="433"/>
      <c r="C16" s="433"/>
      <c r="D16" s="433"/>
      <c r="E16" s="434" t="s">
        <v>1215</v>
      </c>
      <c r="F16" s="465"/>
      <c r="G16" s="453"/>
      <c r="I16" s="1965"/>
    </row>
    <row r="17" spans="1:13" s="456" customFormat="1" ht="57.75" customHeight="1">
      <c r="A17" s="436" t="s">
        <v>1216</v>
      </c>
      <c r="B17" s="437" t="s">
        <v>1217</v>
      </c>
      <c r="C17" s="438" t="s">
        <v>1218</v>
      </c>
      <c r="D17" s="438" t="s">
        <v>1219</v>
      </c>
      <c r="E17" s="439" t="s">
        <v>898</v>
      </c>
      <c r="F17" s="465"/>
      <c r="G17" s="453"/>
      <c r="I17" s="1965"/>
    </row>
    <row r="18" spans="1:13" s="456" customFormat="1" ht="15.75">
      <c r="A18" s="440">
        <v>0</v>
      </c>
      <c r="B18" s="441" t="s">
        <v>1220</v>
      </c>
      <c r="C18" s="442"/>
      <c r="D18" s="442"/>
      <c r="E18" s="443"/>
      <c r="F18" s="465"/>
      <c r="G18" s="453"/>
      <c r="I18" s="1965"/>
    </row>
    <row r="19" spans="1:13" s="456" customFormat="1" ht="15.75">
      <c r="A19" s="444" t="s">
        <v>184</v>
      </c>
      <c r="B19" s="445" t="s">
        <v>809</v>
      </c>
      <c r="C19" s="446">
        <f>'ANEXA 26(1.1)'!D47</f>
        <v>41618820</v>
      </c>
      <c r="D19" s="446">
        <f>'ANEXA 26(1.1)'!E47</f>
        <v>33769810</v>
      </c>
      <c r="E19" s="447"/>
      <c r="F19" s="453"/>
      <c r="G19" s="453"/>
      <c r="I19" s="1965"/>
      <c r="K19" s="1964"/>
    </row>
    <row r="20" spans="1:13" s="456" customFormat="1" ht="15.75">
      <c r="A20" s="444" t="s">
        <v>188</v>
      </c>
      <c r="B20" s="445" t="s">
        <v>810</v>
      </c>
      <c r="C20" s="446">
        <f>'ANEXA 26(1.1)'!D48</f>
        <v>41992330</v>
      </c>
      <c r="D20" s="446">
        <f>'ANEXA 26(1.1)'!E48</f>
        <v>34724970</v>
      </c>
      <c r="E20" s="467">
        <f>'ANEXA 26(1.1)'!F48</f>
        <v>34721134</v>
      </c>
      <c r="F20" s="453"/>
      <c r="G20" s="453"/>
      <c r="I20" s="1965"/>
      <c r="K20" s="1964"/>
    </row>
    <row r="21" spans="1:13" s="456" customFormat="1" ht="31.5">
      <c r="A21" s="449"/>
      <c r="B21" s="450" t="s">
        <v>1221</v>
      </c>
      <c r="C21" s="451"/>
      <c r="D21" s="451"/>
      <c r="E21" s="452"/>
      <c r="F21" s="453"/>
      <c r="G21" s="453"/>
      <c r="I21" s="1965"/>
    </row>
    <row r="22" spans="1:13" s="456" customFormat="1" ht="15.75">
      <c r="A22" s="449"/>
      <c r="B22" s="445" t="s">
        <v>809</v>
      </c>
      <c r="C22" s="454">
        <f>C19</f>
        <v>41618820</v>
      </c>
      <c r="D22" s="454">
        <f>D19</f>
        <v>33769810</v>
      </c>
      <c r="E22" s="455"/>
      <c r="F22" s="453"/>
      <c r="G22" s="453"/>
      <c r="I22" s="1965"/>
    </row>
    <row r="23" spans="1:13" s="456" customFormat="1" ht="15.75">
      <c r="A23" s="457"/>
      <c r="B23" s="458" t="s">
        <v>810</v>
      </c>
      <c r="C23" s="459">
        <f>C20</f>
        <v>41992330</v>
      </c>
      <c r="D23" s="459">
        <f>D20</f>
        <v>34724970</v>
      </c>
      <c r="E23" s="460">
        <f>E20</f>
        <v>34721134</v>
      </c>
      <c r="F23" s="468"/>
      <c r="G23" s="453"/>
      <c r="I23" s="1965"/>
    </row>
    <row r="24" spans="1:13" s="456" customFormat="1" ht="15.75">
      <c r="A24" s="469"/>
      <c r="B24" s="470"/>
      <c r="C24" s="465"/>
      <c r="D24" s="465"/>
      <c r="E24" s="465"/>
      <c r="F24" s="468"/>
      <c r="G24" s="453"/>
      <c r="I24" s="1965"/>
      <c r="M24" s="471"/>
    </row>
    <row r="25" spans="1:13" ht="15.75">
      <c r="A25" s="424"/>
      <c r="B25" s="431"/>
      <c r="C25" s="424"/>
      <c r="D25" s="424"/>
      <c r="E25" s="424"/>
      <c r="F25" s="424"/>
      <c r="G25" s="424"/>
    </row>
    <row r="26" spans="1:13" ht="31.5">
      <c r="A26" s="430" t="s">
        <v>1222</v>
      </c>
      <c r="B26" s="431" t="s">
        <v>2338</v>
      </c>
      <c r="C26" s="431"/>
      <c r="D26" s="431"/>
      <c r="E26" s="428"/>
      <c r="F26" s="453"/>
      <c r="G26" s="424"/>
    </row>
    <row r="27" spans="1:13" ht="15.75">
      <c r="A27" s="466">
        <v>659</v>
      </c>
      <c r="B27" s="2028" t="s">
        <v>1223</v>
      </c>
      <c r="C27" s="2029"/>
      <c r="D27" s="2029"/>
      <c r="E27" s="2030"/>
      <c r="F27" s="453"/>
      <c r="G27" s="453"/>
    </row>
    <row r="28" spans="1:13">
      <c r="A28" s="466"/>
      <c r="B28" s="2027" t="s">
        <v>1224</v>
      </c>
      <c r="C28" s="433"/>
      <c r="D28" s="433"/>
      <c r="E28" s="424"/>
      <c r="F28" s="453"/>
      <c r="G28" s="453"/>
    </row>
    <row r="29" spans="1:13" ht="15.75">
      <c r="A29" s="466"/>
      <c r="B29" s="472"/>
      <c r="C29" s="433"/>
      <c r="D29" s="433"/>
      <c r="E29" s="434" t="s">
        <v>1215</v>
      </c>
      <c r="F29" s="453"/>
      <c r="G29" s="453"/>
    </row>
    <row r="30" spans="1:13" ht="47.25">
      <c r="A30" s="436" t="s">
        <v>1216</v>
      </c>
      <c r="B30" s="437" t="s">
        <v>1217</v>
      </c>
      <c r="C30" s="438" t="s">
        <v>1218</v>
      </c>
      <c r="D30" s="438" t="s">
        <v>1219</v>
      </c>
      <c r="E30" s="439" t="s">
        <v>898</v>
      </c>
      <c r="F30" s="453"/>
      <c r="G30" s="453"/>
    </row>
    <row r="31" spans="1:13" ht="15.75">
      <c r="A31" s="440">
        <v>0</v>
      </c>
      <c r="B31" s="441" t="s">
        <v>1220</v>
      </c>
      <c r="C31" s="442"/>
      <c r="D31" s="442"/>
      <c r="E31" s="443"/>
      <c r="F31" s="453"/>
      <c r="G31" s="453"/>
    </row>
    <row r="32" spans="1:13" ht="15.75">
      <c r="A32" s="444" t="s">
        <v>184</v>
      </c>
      <c r="B32" s="445" t="s">
        <v>809</v>
      </c>
      <c r="C32" s="446">
        <f>'ANEXA 26 (2.2)'!D12</f>
        <v>246530540</v>
      </c>
      <c r="D32" s="446">
        <f>'ANEXA 26 (2.2)'!E12</f>
        <v>153227520</v>
      </c>
      <c r="E32" s="447"/>
      <c r="F32" s="453"/>
      <c r="G32" s="453"/>
      <c r="K32" s="1964"/>
    </row>
    <row r="33" spans="1:11" ht="15.75">
      <c r="A33" s="444" t="s">
        <v>188</v>
      </c>
      <c r="B33" s="445" t="s">
        <v>810</v>
      </c>
      <c r="C33" s="446">
        <f>'ANEXA 26 (2.2)'!D13</f>
        <v>216247500</v>
      </c>
      <c r="D33" s="446">
        <f>'ANEXA 26 (2.2)'!E13</f>
        <v>118745770</v>
      </c>
      <c r="E33" s="467">
        <f>'ANEXA 26 (2.2)'!F13</f>
        <v>118520001</v>
      </c>
      <c r="F33" s="453"/>
      <c r="G33" s="453"/>
      <c r="K33" s="1964"/>
    </row>
    <row r="34" spans="1:11" ht="31.5">
      <c r="A34" s="449"/>
      <c r="B34" s="450" t="s">
        <v>1221</v>
      </c>
      <c r="C34" s="451"/>
      <c r="D34" s="451"/>
      <c r="E34" s="452"/>
      <c r="F34" s="453"/>
      <c r="G34" s="453"/>
    </row>
    <row r="35" spans="1:11" ht="15.75">
      <c r="A35" s="449"/>
      <c r="B35" s="445" t="s">
        <v>809</v>
      </c>
      <c r="C35" s="454">
        <f>C32</f>
        <v>246530540</v>
      </c>
      <c r="D35" s="454">
        <f>D32</f>
        <v>153227520</v>
      </c>
      <c r="E35" s="455"/>
      <c r="F35" s="453"/>
      <c r="G35" s="453"/>
    </row>
    <row r="36" spans="1:11" ht="15.75">
      <c r="A36" s="457"/>
      <c r="B36" s="458" t="s">
        <v>810</v>
      </c>
      <c r="C36" s="459">
        <f>C33</f>
        <v>216247500</v>
      </c>
      <c r="D36" s="459">
        <f>D33</f>
        <v>118745770</v>
      </c>
      <c r="E36" s="473">
        <f>E33</f>
        <v>118520001</v>
      </c>
      <c r="F36" s="453"/>
      <c r="G36" s="453"/>
    </row>
    <row r="37" spans="1:11" ht="15.75">
      <c r="A37" s="433"/>
      <c r="B37" s="1083"/>
      <c r="C37" s="1084"/>
      <c r="D37" s="1084"/>
      <c r="E37" s="1084"/>
      <c r="F37" s="453"/>
      <c r="G37" s="453"/>
    </row>
    <row r="38" spans="1:11" ht="15.75">
      <c r="A38" s="433"/>
      <c r="B38" s="1083"/>
      <c r="C38" s="1084"/>
      <c r="D38" s="1084"/>
      <c r="E38" s="1084"/>
      <c r="F38" s="453"/>
      <c r="G38" s="453"/>
    </row>
    <row r="39" spans="1:11" ht="31.5">
      <c r="A39" s="430" t="s">
        <v>1222</v>
      </c>
      <c r="B39" s="1085" t="s">
        <v>1809</v>
      </c>
      <c r="C39" s="1085"/>
      <c r="D39" s="1085"/>
      <c r="E39" s="1085"/>
      <c r="F39" s="453"/>
      <c r="G39" s="453"/>
    </row>
    <row r="40" spans="1:11" ht="15.75" customHeight="1">
      <c r="A40" s="466">
        <v>1704</v>
      </c>
      <c r="B40" s="4269" t="s">
        <v>1808</v>
      </c>
      <c r="C40" s="4269"/>
      <c r="D40" s="4269"/>
      <c r="E40" s="4269"/>
      <c r="F40" s="453"/>
      <c r="G40" s="453"/>
    </row>
    <row r="41" spans="1:11" ht="14.25">
      <c r="A41" s="466"/>
      <c r="B41" s="472"/>
      <c r="C41" s="433"/>
      <c r="D41" s="433"/>
      <c r="E41" s="424"/>
      <c r="F41" s="453"/>
      <c r="G41" s="453"/>
    </row>
    <row r="42" spans="1:11" ht="15.75">
      <c r="A42" s="466"/>
      <c r="B42" s="472"/>
      <c r="C42" s="433"/>
      <c r="D42" s="433"/>
      <c r="E42" s="434" t="s">
        <v>1215</v>
      </c>
      <c r="F42" s="453"/>
      <c r="G42" s="453"/>
    </row>
    <row r="43" spans="1:11" ht="47.25">
      <c r="A43" s="1108" t="s">
        <v>1216</v>
      </c>
      <c r="B43" s="1109" t="s">
        <v>1217</v>
      </c>
      <c r="C43" s="1110" t="s">
        <v>1218</v>
      </c>
      <c r="D43" s="1110" t="s">
        <v>1219</v>
      </c>
      <c r="E43" s="1111" t="s">
        <v>898</v>
      </c>
      <c r="F43" s="453"/>
      <c r="G43" s="453"/>
    </row>
    <row r="44" spans="1:11" ht="15.75">
      <c r="A44" s="1112">
        <v>0</v>
      </c>
      <c r="B44" s="441" t="s">
        <v>1220</v>
      </c>
      <c r="C44" s="442"/>
      <c r="D44" s="442"/>
      <c r="E44" s="1113"/>
      <c r="F44" s="453"/>
      <c r="G44" s="453"/>
    </row>
    <row r="45" spans="1:11" ht="15.75">
      <c r="A45" s="1114" t="s">
        <v>184</v>
      </c>
      <c r="B45" s="445" t="s">
        <v>809</v>
      </c>
      <c r="C45" s="446">
        <f>+'ANEXA 26(3.1)'!D60</f>
        <v>13000030</v>
      </c>
      <c r="D45" s="446">
        <f>+'ANEXA 26(3.1)'!E60</f>
        <v>10728580</v>
      </c>
      <c r="E45" s="1115">
        <f>+'ANEXA 26(3.1)'!F60</f>
        <v>0</v>
      </c>
      <c r="F45" s="453"/>
      <c r="G45" s="453"/>
      <c r="K45" s="1966"/>
    </row>
    <row r="46" spans="1:11" ht="15.75">
      <c r="A46" s="1114" t="s">
        <v>188</v>
      </c>
      <c r="B46" s="445" t="s">
        <v>810</v>
      </c>
      <c r="C46" s="446">
        <f>+'ANEXA 26(3.1)'!D61</f>
        <v>13648650</v>
      </c>
      <c r="D46" s="446">
        <f>+'ANEXA 26(3.1)'!E61</f>
        <v>12196750</v>
      </c>
      <c r="E46" s="1115">
        <f>+'ANEXA 26(3.1)'!F61</f>
        <v>12190703</v>
      </c>
      <c r="F46" s="453"/>
      <c r="G46" s="453"/>
      <c r="K46" s="1966"/>
    </row>
    <row r="47" spans="1:11" ht="31.5">
      <c r="A47" s="1116"/>
      <c r="B47" s="450" t="s">
        <v>1221</v>
      </c>
      <c r="C47" s="451"/>
      <c r="D47" s="451"/>
      <c r="E47" s="1117"/>
      <c r="F47" s="453"/>
      <c r="G47" s="453"/>
    </row>
    <row r="48" spans="1:11" ht="15.75">
      <c r="A48" s="1116"/>
      <c r="B48" s="445" t="s">
        <v>809</v>
      </c>
      <c r="C48" s="454">
        <f>C45</f>
        <v>13000030</v>
      </c>
      <c r="D48" s="454">
        <f>D45</f>
        <v>10728580</v>
      </c>
      <c r="E48" s="1118"/>
      <c r="F48" s="453"/>
      <c r="G48" s="453"/>
    </row>
    <row r="49" spans="1:14" ht="15.75">
      <c r="A49" s="1119"/>
      <c r="B49" s="1120" t="s">
        <v>810</v>
      </c>
      <c r="C49" s="1121">
        <f>C46</f>
        <v>13648650</v>
      </c>
      <c r="D49" s="1121">
        <f>D46</f>
        <v>12196750</v>
      </c>
      <c r="E49" s="1122">
        <f>E46</f>
        <v>12190703</v>
      </c>
      <c r="F49" s="453"/>
      <c r="G49" s="453"/>
    </row>
    <row r="50" spans="1:14" ht="15.75">
      <c r="A50" s="474"/>
      <c r="B50" s="453"/>
      <c r="C50" s="453"/>
      <c r="D50" s="453"/>
      <c r="E50" s="453"/>
      <c r="F50" s="453"/>
      <c r="G50" s="453"/>
    </row>
    <row r="51" spans="1:14" ht="15.75">
      <c r="A51" s="474"/>
      <c r="B51" s="474"/>
      <c r="C51" s="474"/>
      <c r="D51" s="474"/>
      <c r="E51" s="453"/>
      <c r="F51" s="453"/>
      <c r="G51" s="453"/>
    </row>
    <row r="52" spans="1:14" ht="15.75">
      <c r="A52" s="453"/>
      <c r="B52" s="309"/>
      <c r="C52" s="453"/>
      <c r="D52" s="453"/>
      <c r="E52" s="453"/>
      <c r="F52" s="453"/>
      <c r="G52" s="453"/>
    </row>
    <row r="53" spans="1:14" ht="15.75">
      <c r="A53" s="461"/>
      <c r="B53" s="310"/>
      <c r="C53" s="461"/>
      <c r="D53" s="461"/>
      <c r="E53" s="461"/>
      <c r="F53" s="461"/>
      <c r="G53" s="453"/>
      <c r="M53" s="475"/>
      <c r="N53" s="475"/>
    </row>
    <row r="54" spans="1:14" ht="15.75">
      <c r="A54" s="4018" t="str">
        <f>+'ANEXA 1'!B94</f>
        <v>DIRECTOR  GENERAL,</v>
      </c>
      <c r="B54" s="4018"/>
      <c r="C54" s="4267" t="str">
        <f>+'ANEXA 1'!D94</f>
        <v>DIRECTOR  EXECUTIV  ECONOMIC,</v>
      </c>
      <c r="D54" s="4267"/>
      <c r="E54" s="4267"/>
      <c r="F54" s="476"/>
      <c r="G54" s="453"/>
    </row>
    <row r="55" spans="1:14" ht="18.75" customHeight="1">
      <c r="A55" s="465"/>
      <c r="B55" s="477"/>
      <c r="C55" s="465"/>
      <c r="D55" s="465"/>
      <c r="E55" s="465"/>
      <c r="F55" s="465"/>
      <c r="G55" s="453"/>
    </row>
    <row r="56" spans="1:14" ht="15.75" customHeight="1">
      <c r="A56" s="4266" t="str">
        <f>+'ANEXA 1'!B96</f>
        <v>EC.ALBU DRINA</v>
      </c>
      <c r="B56" s="4266"/>
      <c r="C56" s="4268" t="str">
        <f>+'ANEXA 1'!D96</f>
        <v>EC.BIRCU FLORINA</v>
      </c>
      <c r="D56" s="4268"/>
      <c r="E56" s="4268"/>
      <c r="F56" s="453"/>
      <c r="G56" s="453"/>
    </row>
    <row r="57" spans="1:14" ht="14.25">
      <c r="A57" s="4270">
        <f>+'ANEXA 1'!B97</f>
        <v>0</v>
      </c>
      <c r="B57" s="4270"/>
      <c r="C57" s="478"/>
      <c r="D57" s="478"/>
      <c r="E57" s="479"/>
      <c r="F57" s="453"/>
      <c r="G57" s="453"/>
    </row>
    <row r="58" spans="1:14" ht="15" customHeight="1">
      <c r="A58" s="453"/>
      <c r="B58" s="453"/>
      <c r="C58" s="1082"/>
      <c r="D58" s="1082"/>
      <c r="E58" s="1082"/>
      <c r="F58" s="453"/>
      <c r="G58" s="453"/>
    </row>
    <row r="59" spans="1:14" ht="15.75">
      <c r="A59" s="461"/>
      <c r="B59" s="461"/>
      <c r="C59" s="461"/>
      <c r="D59" s="461"/>
      <c r="E59" s="461"/>
      <c r="F59" s="461"/>
      <c r="G59" s="453"/>
    </row>
    <row r="60" spans="1:14" ht="12.75" customHeight="1">
      <c r="A60" s="4271">
        <f>+'ANEXA 1'!B99</f>
        <v>0</v>
      </c>
      <c r="B60" s="4271"/>
      <c r="C60" s="4264">
        <f>'ANEXA 1'!D99</f>
        <v>0</v>
      </c>
      <c r="D60" s="4264"/>
      <c r="E60" s="4264"/>
      <c r="F60" s="476"/>
      <c r="G60" s="453"/>
    </row>
    <row r="61" spans="1:14" ht="15.75" customHeight="1">
      <c r="A61" s="465"/>
      <c r="B61" s="1618"/>
      <c r="C61" s="1617"/>
      <c r="D61" s="1617"/>
      <c r="E61" s="1617"/>
      <c r="F61" s="465"/>
      <c r="G61" s="461"/>
    </row>
    <row r="62" spans="1:14" ht="18.75" customHeight="1">
      <c r="A62" s="4272">
        <f>+'ANEXA 1'!B101</f>
        <v>0</v>
      </c>
      <c r="B62" s="4272"/>
      <c r="C62" s="4264">
        <f>'ANEXA 1'!D101</f>
        <v>0</v>
      </c>
      <c r="D62" s="4264"/>
      <c r="E62" s="4264"/>
      <c r="F62" s="456"/>
      <c r="G62" s="480"/>
    </row>
    <row r="63" spans="1:14" ht="15.75" customHeight="1">
      <c r="A63" s="471"/>
      <c r="B63" s="481"/>
      <c r="C63" s="1067"/>
      <c r="D63" s="1067"/>
      <c r="E63" s="1067"/>
      <c r="F63" s="456"/>
      <c r="G63" s="482"/>
    </row>
  </sheetData>
  <sheetProtection password="CF1D" sheet="1" objects="1" scenarios="1"/>
  <mergeCells count="11">
    <mergeCell ref="C60:E60"/>
    <mergeCell ref="C62:E62"/>
    <mergeCell ref="A1:E1"/>
    <mergeCell ref="A54:B54"/>
    <mergeCell ref="A56:B56"/>
    <mergeCell ref="C54:E54"/>
    <mergeCell ref="C56:E56"/>
    <mergeCell ref="B40:E40"/>
    <mergeCell ref="A57:B57"/>
    <mergeCell ref="A60:B60"/>
    <mergeCell ref="A62:B62"/>
  </mergeCells>
  <phoneticPr fontId="0" type="noConversion"/>
  <printOptions horizontalCentered="1"/>
  <pageMargins left="0.77986111111111112" right="0.25" top="0.2361111111111111" bottom="0.24027777777777778" header="0.51180555555555551" footer="0.24027777777777778"/>
  <pageSetup paperSize="9" scale="82" firstPageNumber="0" orientation="portrait" horizontalDpi="300" verticalDpi="300" r:id="rId1"/>
  <headerFooter alignWithMargins="0">
    <oddFooter>&amp;C&amp;A</oddFooter>
  </headerFooter>
  <rowBreaks count="2" manualBreakCount="2">
    <brk id="38" max="6" man="1"/>
    <brk id="78"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0">
    <tabColor theme="2" tint="-0.249977111117893"/>
  </sheetPr>
  <dimension ref="A1:I73"/>
  <sheetViews>
    <sheetView showZeros="0" zoomScaleNormal="100" workbookViewId="0">
      <selection activeCell="G16" sqref="G16"/>
    </sheetView>
  </sheetViews>
  <sheetFormatPr defaultColWidth="9.140625" defaultRowHeight="12.75"/>
  <cols>
    <col min="1" max="1" width="16.85546875" style="92" customWidth="1"/>
    <col min="2" max="2" width="31.85546875" style="92" customWidth="1"/>
    <col min="3" max="3" width="19.28515625" style="92" customWidth="1"/>
    <col min="4" max="4" width="13.42578125" style="92" customWidth="1"/>
    <col min="5" max="5" width="13.7109375" style="92" customWidth="1"/>
    <col min="6" max="6" width="15.85546875" style="92" customWidth="1"/>
    <col min="7" max="7" width="9.140625" style="92"/>
    <col min="8" max="8" width="9.85546875" style="92" bestFit="1" customWidth="1"/>
    <col min="9" max="16384" width="9.140625" style="92"/>
  </cols>
  <sheetData>
    <row r="1" spans="1:9" ht="15">
      <c r="A1" s="4265" t="str">
        <f>'ANEXA 1'!A1:E1</f>
        <v>CASA  DE  ASIGURĂRI  DE  SĂNĂTATE MEHEDINTI</v>
      </c>
      <c r="B1" s="4265"/>
      <c r="C1" s="4265"/>
      <c r="D1" s="4265"/>
      <c r="E1" s="4265"/>
    </row>
    <row r="2" spans="1:9">
      <c r="F2" s="307" t="s">
        <v>1225</v>
      </c>
    </row>
    <row r="6" spans="1:9" ht="15.75">
      <c r="B6" s="4276" t="s">
        <v>1226</v>
      </c>
      <c r="C6" s="4276"/>
      <c r="D6" s="4276"/>
      <c r="E6" s="4276"/>
      <c r="F6" s="1068"/>
    </row>
    <row r="7" spans="1:9" ht="15.75">
      <c r="B7" s="4276" t="s">
        <v>1817</v>
      </c>
      <c r="C7" s="4276"/>
      <c r="D7" s="4276"/>
      <c r="E7" s="4276"/>
      <c r="F7" s="1068"/>
    </row>
    <row r="8" spans="1:9" ht="15.75">
      <c r="B8" s="484"/>
      <c r="C8" s="484"/>
      <c r="D8" s="484"/>
      <c r="E8" s="484"/>
      <c r="F8" s="484"/>
    </row>
    <row r="9" spans="1:9" ht="15.75">
      <c r="B9" s="484" t="s">
        <v>1227</v>
      </c>
      <c r="C9" s="484"/>
      <c r="D9" s="484"/>
      <c r="E9" s="484"/>
      <c r="F9" s="484"/>
    </row>
    <row r="11" spans="1:9" ht="44.25" customHeight="1">
      <c r="A11" s="2285"/>
      <c r="B11" s="2286" t="s">
        <v>1228</v>
      </c>
      <c r="C11" s="2287" t="s">
        <v>2390</v>
      </c>
      <c r="D11" s="2287" t="s">
        <v>2391</v>
      </c>
      <c r="E11" s="2288" t="s">
        <v>2392</v>
      </c>
      <c r="F11" s="1370"/>
    </row>
    <row r="12" spans="1:9" ht="13.15" customHeight="1">
      <c r="A12" s="4287" t="s">
        <v>830</v>
      </c>
      <c r="B12" s="2263" t="s">
        <v>1229</v>
      </c>
      <c r="C12" s="4281" t="e">
        <f>(+'CONT EXECUTIE  '!C153-'CONT EXECUTIE  '!C180)/C14</f>
        <v>#DIV/0!</v>
      </c>
      <c r="D12" s="4281" t="e">
        <f>(+'CONT EXECUTIE  '!D153-'CONT EXECUTIE  '!D180)/D14</f>
        <v>#DIV/0!</v>
      </c>
      <c r="E12" s="4277" t="e">
        <f>+(PLATI!C130-PLATI!C157)/E14</f>
        <v>#DIV/0!</v>
      </c>
      <c r="F12" s="1258"/>
      <c r="G12" s="129"/>
      <c r="H12" s="1788"/>
    </row>
    <row r="13" spans="1:9" ht="18.95" customHeight="1">
      <c r="A13" s="4288"/>
      <c r="B13" s="1994" t="s">
        <v>2068</v>
      </c>
      <c r="C13" s="4282"/>
      <c r="D13" s="4282"/>
      <c r="E13" s="4278"/>
      <c r="F13" s="1371"/>
      <c r="G13" s="1368"/>
      <c r="H13" s="1789"/>
    </row>
    <row r="14" spans="1:9" ht="11.45" customHeight="1">
      <c r="A14" s="4288"/>
      <c r="B14" s="1996" t="s">
        <v>1230</v>
      </c>
      <c r="C14" s="4290"/>
      <c r="D14" s="4292">
        <f>C14</f>
        <v>0</v>
      </c>
      <c r="E14" s="4279">
        <f>'ANEXA 26(1.2)'!B48</f>
        <v>0</v>
      </c>
      <c r="G14" s="1258"/>
      <c r="H14" s="1788"/>
      <c r="I14" s="129"/>
    </row>
    <row r="15" spans="1:9" ht="25.9" customHeight="1">
      <c r="A15" s="4289"/>
      <c r="B15" s="2264" t="s">
        <v>2066</v>
      </c>
      <c r="C15" s="4291"/>
      <c r="D15" s="4293"/>
      <c r="E15" s="4280"/>
      <c r="F15" s="1258"/>
      <c r="G15" s="129"/>
      <c r="H15" s="2026" t="str">
        <f>IF(C14=0,"EROARE"," ")</f>
        <v>EROARE</v>
      </c>
    </row>
    <row r="16" spans="1:9" ht="15.6" customHeight="1" thickBot="1">
      <c r="A16" s="4296" t="s">
        <v>832</v>
      </c>
      <c r="B16" s="2265" t="s">
        <v>1229</v>
      </c>
      <c r="C16" s="4281" t="e">
        <f>+'CONT EXECUTIE  '!C190/C18</f>
        <v>#DIV/0!</v>
      </c>
      <c r="D16" s="4281" t="e">
        <f>+'CONT EXECUTIE  '!D190/D18</f>
        <v>#DIV/0!</v>
      </c>
      <c r="E16" s="4277" t="e">
        <f>+PLATI!C167/E18</f>
        <v>#DIV/0!</v>
      </c>
      <c r="G16" s="1258"/>
      <c r="H16" s="1788"/>
      <c r="I16" s="129"/>
    </row>
    <row r="17" spans="1:9" ht="18.95" customHeight="1" thickBot="1">
      <c r="A17" s="4297"/>
      <c r="B17" s="1994" t="s">
        <v>2068</v>
      </c>
      <c r="C17" s="4282"/>
      <c r="D17" s="4282"/>
      <c r="E17" s="4278"/>
      <c r="F17" s="1371"/>
      <c r="G17" s="1368"/>
      <c r="H17" s="1790"/>
    </row>
    <row r="18" spans="1:9" ht="13.9" customHeight="1" thickBot="1">
      <c r="A18" s="4297"/>
      <c r="B18" s="1996" t="s">
        <v>1230</v>
      </c>
      <c r="C18" s="4290"/>
      <c r="D18" s="4292">
        <f>C18</f>
        <v>0</v>
      </c>
      <c r="E18" s="4279">
        <f>'ANEXA 26(1.2)'!B49</f>
        <v>0</v>
      </c>
      <c r="G18" s="1258"/>
      <c r="H18" s="1788"/>
      <c r="I18" s="129"/>
    </row>
    <row r="19" spans="1:9" ht="18.95" customHeight="1">
      <c r="A19" s="4298"/>
      <c r="B19" s="2264" t="s">
        <v>2066</v>
      </c>
      <c r="C19" s="4291"/>
      <c r="D19" s="4293"/>
      <c r="E19" s="4280"/>
      <c r="F19" s="1258"/>
      <c r="G19" s="129"/>
      <c r="H19" s="2026" t="str">
        <f>IF(C18=0,"EROARE"," ")</f>
        <v>EROARE</v>
      </c>
    </row>
    <row r="20" spans="1:9" ht="14.45" customHeight="1" thickBot="1">
      <c r="A20" s="4296" t="s">
        <v>2067</v>
      </c>
      <c r="B20" s="2265" t="s">
        <v>1229</v>
      </c>
      <c r="C20" s="4281" t="e">
        <f>(+'CONT EXECUTIE  '!C220+'CONT EXECUTIE  '!C248+'CONT EXECUTIE  '!C274)/C22</f>
        <v>#DIV/0!</v>
      </c>
      <c r="D20" s="4281" t="e">
        <f>(+'CONT EXECUTIE  '!D220+'CONT EXECUTIE  '!D248+'CONT EXECUTIE  '!D274)/D22</f>
        <v>#DIV/0!</v>
      </c>
      <c r="E20" s="4277" t="e">
        <f>(+PLATI!C197+PLATI!C225+PLATI!C251)/E22</f>
        <v>#DIV/0!</v>
      </c>
      <c r="G20" s="1258"/>
      <c r="H20" s="1788"/>
      <c r="I20" s="129"/>
    </row>
    <row r="21" spans="1:9" ht="18.95" customHeight="1" thickBot="1">
      <c r="A21" s="4297"/>
      <c r="B21" s="1994" t="s">
        <v>2333</v>
      </c>
      <c r="C21" s="4282"/>
      <c r="D21" s="4282"/>
      <c r="E21" s="4278"/>
      <c r="F21" s="1371"/>
      <c r="G21" s="1368"/>
      <c r="H21" s="1788"/>
    </row>
    <row r="22" spans="1:9" ht="14.45" customHeight="1" thickBot="1">
      <c r="A22" s="4297"/>
      <c r="B22" s="1996" t="s">
        <v>1230</v>
      </c>
      <c r="C22" s="4283"/>
      <c r="D22" s="4292">
        <f>C22</f>
        <v>0</v>
      </c>
      <c r="E22" s="4279">
        <f>'ANEXA 26(1.2)'!B50</f>
        <v>0</v>
      </c>
      <c r="G22" s="1258"/>
      <c r="H22" s="129"/>
      <c r="I22" s="129"/>
    </row>
    <row r="23" spans="1:9" ht="27" customHeight="1">
      <c r="A23" s="4298"/>
      <c r="B23" s="2264" t="s">
        <v>2066</v>
      </c>
      <c r="C23" s="4284"/>
      <c r="D23" s="4293"/>
      <c r="E23" s="4280"/>
      <c r="F23" s="1258"/>
      <c r="G23" s="129"/>
      <c r="H23" s="2026" t="str">
        <f>IF(C22=0,"EROARE"," ")</f>
        <v>EROARE</v>
      </c>
    </row>
    <row r="24" spans="1:9" ht="15" customHeight="1">
      <c r="F24" s="1370"/>
    </row>
    <row r="25" spans="1:9" ht="31.5" hidden="1" customHeight="1"/>
    <row r="26" spans="1:9" hidden="1"/>
    <row r="27" spans="1:9" ht="12.75" hidden="1" customHeight="1"/>
    <row r="28" spans="1:9" ht="12.75" hidden="1" customHeight="1"/>
    <row r="29" spans="1:9" ht="12.75" hidden="1" customHeight="1"/>
    <row r="30" spans="1:9" hidden="1"/>
    <row r="31" spans="1:9" hidden="1"/>
    <row r="32" spans="1:9" hidden="1"/>
    <row r="33" spans="1:6" hidden="1"/>
    <row r="34" spans="1:6" hidden="1"/>
    <row r="35" spans="1:6" hidden="1"/>
    <row r="36" spans="1:6" hidden="1"/>
    <row r="37" spans="1:6" hidden="1"/>
    <row r="38" spans="1:6" hidden="1"/>
    <row r="41" spans="1:6" ht="30" customHeight="1">
      <c r="B41" s="4301" t="s">
        <v>1243</v>
      </c>
      <c r="C41" s="4301"/>
      <c r="D41" s="4301"/>
      <c r="E41" s="4301"/>
      <c r="F41" s="4301"/>
    </row>
    <row r="42" spans="1:6">
      <c r="B42" s="92" t="s">
        <v>1242</v>
      </c>
      <c r="F42" s="486" t="s">
        <v>1031</v>
      </c>
    </row>
    <row r="43" spans="1:6" ht="12.75" customHeight="1">
      <c r="A43" s="4302" t="s">
        <v>1232</v>
      </c>
      <c r="B43" s="4305" t="s">
        <v>1233</v>
      </c>
      <c r="C43" s="4305" t="s">
        <v>808</v>
      </c>
      <c r="D43" s="2289" t="s">
        <v>1234</v>
      </c>
      <c r="E43" s="2289" t="str">
        <f>D43</f>
        <v>Credite</v>
      </c>
      <c r="F43" s="4308" t="s">
        <v>813</v>
      </c>
    </row>
    <row r="44" spans="1:6">
      <c r="A44" s="4303"/>
      <c r="B44" s="4306"/>
      <c r="C44" s="4306"/>
      <c r="D44" s="2290" t="s">
        <v>1236</v>
      </c>
      <c r="E44" s="2290" t="str">
        <f>D44</f>
        <v>bugetare</v>
      </c>
      <c r="F44" s="4309"/>
    </row>
    <row r="45" spans="1:6">
      <c r="A45" s="4304"/>
      <c r="B45" s="4307"/>
      <c r="C45" s="4307"/>
      <c r="D45" s="2291" t="s">
        <v>1237</v>
      </c>
      <c r="E45" s="2291" t="s">
        <v>1238</v>
      </c>
      <c r="F45" s="4310"/>
    </row>
    <row r="46" spans="1:6" ht="16.149999999999999" customHeight="1">
      <c r="A46" s="2266"/>
      <c r="B46" s="2267" t="s">
        <v>1239</v>
      </c>
      <c r="C46" s="4273">
        <v>5005</v>
      </c>
      <c r="D46" s="2268"/>
      <c r="E46" s="2268"/>
      <c r="F46" s="2269"/>
    </row>
    <row r="47" spans="1:6" ht="18.600000000000001" customHeight="1">
      <c r="A47" s="2270"/>
      <c r="B47" s="2271" t="s">
        <v>809</v>
      </c>
      <c r="C47" s="4274"/>
      <c r="D47" s="2272">
        <f>+'CONT EXECUTIE  '!C153-'CONT EXECUTIE  '!C180+'CONT EXECUTIE  '!C190+'CONT EXECUTIE  '!C220+'CONT EXECUTIE  '!C248+'CONT EXECUTIE  '!C274</f>
        <v>41618820</v>
      </c>
      <c r="E47" s="2272">
        <f>+'CONT EXECUTIE  '!D153-'CONT EXECUTIE  '!D180+'CONT EXECUTIE  '!D190+'CONT EXECUTIE  '!D220+'CONT EXECUTIE  '!D248+'CONT EXECUTIE  '!D274</f>
        <v>33769810</v>
      </c>
      <c r="F47" s="2273"/>
    </row>
    <row r="48" spans="1:6" ht="18.600000000000001" customHeight="1">
      <c r="A48" s="2274"/>
      <c r="B48" s="2275" t="s">
        <v>810</v>
      </c>
      <c r="C48" s="4275"/>
      <c r="D48" s="2276">
        <f>+'CONT EXECUTIE  '!E153-'CONT EXECUTIE  '!E180+'CONT EXECUTIE  '!E190+'CONT EXECUTIE  '!E220+'CONT EXECUTIE  '!E248+'CONT EXECUTIE  '!E274</f>
        <v>41992330</v>
      </c>
      <c r="E48" s="2276">
        <f>+'CONT EXECUTIE  '!F153-'CONT EXECUTIE  '!F180+'CONT EXECUTIE  '!F190+'CONT EXECUTIE  '!F220+'CONT EXECUTIE  '!F248+'CONT EXECUTIE  '!F274</f>
        <v>34724970</v>
      </c>
      <c r="F48" s="2277">
        <f>PLATI!C130-PLATI!C157+PLATI!C167+PLATI!C197+PLATI!C225+PLATI!C251</f>
        <v>34721134</v>
      </c>
    </row>
    <row r="49" spans="1:6" ht="16.149999999999999" customHeight="1">
      <c r="A49" s="2266"/>
      <c r="B49" s="1995" t="s">
        <v>820</v>
      </c>
      <c r="C49" s="4273">
        <v>6605</v>
      </c>
      <c r="D49" s="1990"/>
      <c r="E49" s="1990"/>
      <c r="F49" s="2278"/>
    </row>
    <row r="50" spans="1:6" ht="18" customHeight="1">
      <c r="A50" s="2270"/>
      <c r="B50" s="2271" t="s">
        <v>809</v>
      </c>
      <c r="C50" s="4274"/>
      <c r="D50" s="2279">
        <f>D47</f>
        <v>41618820</v>
      </c>
      <c r="E50" s="2279">
        <f>E47</f>
        <v>33769810</v>
      </c>
      <c r="F50" s="2280"/>
    </row>
    <row r="51" spans="1:6" ht="19.149999999999999" customHeight="1">
      <c r="A51" s="2274"/>
      <c r="B51" s="2275" t="s">
        <v>810</v>
      </c>
      <c r="C51" s="4275"/>
      <c r="D51" s="2281">
        <f>D48</f>
        <v>41992330</v>
      </c>
      <c r="E51" s="2281">
        <f>E48</f>
        <v>34724970</v>
      </c>
      <c r="F51" s="2282">
        <f>F48</f>
        <v>34721134</v>
      </c>
    </row>
    <row r="52" spans="1:6" ht="16.149999999999999" customHeight="1">
      <c r="A52" s="2266"/>
      <c r="B52" s="1995" t="s">
        <v>1240</v>
      </c>
      <c r="C52" s="4273" t="s">
        <v>1033</v>
      </c>
      <c r="D52" s="2283"/>
      <c r="E52" s="2283"/>
      <c r="F52" s="2284"/>
    </row>
    <row r="53" spans="1:6" ht="18.600000000000001" customHeight="1">
      <c r="A53" s="2270"/>
      <c r="B53" s="2271" t="s">
        <v>809</v>
      </c>
      <c r="C53" s="4274"/>
      <c r="D53" s="2279">
        <f>D50</f>
        <v>41618820</v>
      </c>
      <c r="E53" s="2279">
        <f>E50</f>
        <v>33769810</v>
      </c>
      <c r="F53" s="2280"/>
    </row>
    <row r="54" spans="1:6" ht="19.899999999999999" customHeight="1">
      <c r="A54" s="2274"/>
      <c r="B54" s="2275" t="s">
        <v>810</v>
      </c>
      <c r="C54" s="4275"/>
      <c r="D54" s="2281">
        <f>D51</f>
        <v>41992330</v>
      </c>
      <c r="E54" s="2281">
        <f>E51</f>
        <v>34724970</v>
      </c>
      <c r="F54" s="2282">
        <f>F51</f>
        <v>34721134</v>
      </c>
    </row>
    <row r="55" spans="1:6">
      <c r="A55" s="96"/>
      <c r="B55" s="542"/>
      <c r="C55" s="96"/>
      <c r="D55" s="509"/>
      <c r="E55" s="509"/>
      <c r="F55" s="509"/>
    </row>
    <row r="56" spans="1:6">
      <c r="A56" s="96"/>
      <c r="B56" s="542"/>
      <c r="C56" s="96"/>
      <c r="D56" s="509"/>
      <c r="E56" s="509"/>
      <c r="F56" s="509"/>
    </row>
    <row r="57" spans="1:6">
      <c r="A57" s="96"/>
      <c r="B57" s="542"/>
      <c r="C57" s="96"/>
      <c r="D57" s="509"/>
      <c r="E57" s="509"/>
      <c r="F57" s="509"/>
    </row>
    <row r="59" spans="1:6">
      <c r="F59" s="510"/>
    </row>
    <row r="60" spans="1:6" ht="15.75" customHeight="1">
      <c r="B60" s="1068"/>
      <c r="C60" s="1068"/>
      <c r="D60" s="511"/>
      <c r="E60" s="511"/>
    </row>
    <row r="61" spans="1:6" ht="15.75" customHeight="1">
      <c r="A61" s="4311" t="str">
        <f>+'ANEXA 1'!B94</f>
        <v>DIRECTOR  GENERAL,</v>
      </c>
      <c r="B61" s="4311"/>
      <c r="C61" s="511"/>
      <c r="D61" s="4300" t="str">
        <f>+'ANEXA 1'!D94:E94</f>
        <v>DIRECTOR  EXECUTIV  ECONOMIC,</v>
      </c>
      <c r="E61" s="4300"/>
      <c r="F61" s="4300"/>
    </row>
    <row r="62" spans="1:6" ht="15.75" customHeight="1">
      <c r="C62" s="1069"/>
      <c r="D62" s="1621"/>
      <c r="E62" s="1621"/>
      <c r="F62" s="1621"/>
    </row>
    <row r="63" spans="1:6" ht="15.75" customHeight="1">
      <c r="A63" s="4299" t="str">
        <f>+'ANEXA 1'!B96</f>
        <v>EC.ALBU DRINA</v>
      </c>
      <c r="B63" s="4299"/>
      <c r="C63" s="559"/>
      <c r="D63" s="4300" t="str">
        <f>+'ANEXA 1'!D96:E96</f>
        <v>EC.BIRCU FLORINA</v>
      </c>
      <c r="E63" s="4300"/>
      <c r="F63" s="4300"/>
    </row>
    <row r="64" spans="1:6" ht="15.75">
      <c r="A64" s="4295">
        <f>'ANEXA 1'!B97</f>
        <v>0</v>
      </c>
      <c r="B64" s="4295"/>
      <c r="C64" s="306"/>
      <c r="D64" s="306"/>
      <c r="E64" s="306"/>
      <c r="F64" s="306"/>
    </row>
    <row r="65" spans="1:7" ht="15.75" customHeight="1">
      <c r="B65" s="511"/>
      <c r="C65" s="511"/>
      <c r="D65" s="1070"/>
      <c r="E65" s="1070"/>
      <c r="F65" s="1070"/>
    </row>
    <row r="66" spans="1:7" ht="15.75">
      <c r="B66" s="306"/>
      <c r="C66" s="306"/>
      <c r="D66" s="312"/>
      <c r="E66" s="312"/>
      <c r="F66" s="312"/>
      <c r="G66" s="512"/>
    </row>
    <row r="67" spans="1:7" ht="15" customHeight="1">
      <c r="B67" s="511"/>
      <c r="C67" s="511"/>
      <c r="D67" s="1071"/>
      <c r="E67" s="1071"/>
      <c r="F67" s="1071"/>
    </row>
    <row r="68" spans="1:7" ht="16.5" customHeight="1">
      <c r="A68" s="4285">
        <f>+'ANEXA 1'!B99</f>
        <v>0</v>
      </c>
      <c r="B68" s="4286"/>
      <c r="C68" s="511"/>
      <c r="D68" s="4294">
        <f>'ANEXA 1'!D99</f>
        <v>0</v>
      </c>
      <c r="E68" s="4294"/>
      <c r="F68" s="4294"/>
      <c r="G68" s="512"/>
    </row>
    <row r="69" spans="1:7" ht="9" customHeight="1">
      <c r="A69" s="1619"/>
      <c r="B69" s="1619"/>
      <c r="C69" s="511"/>
      <c r="D69" s="1620"/>
      <c r="E69" s="1620"/>
      <c r="F69" s="1620"/>
    </row>
    <row r="70" spans="1:7" ht="12.75" customHeight="1">
      <c r="A70" s="4286">
        <f>+'ANEXA 1'!B101</f>
        <v>0</v>
      </c>
      <c r="B70" s="4286"/>
      <c r="C70" s="313"/>
      <c r="D70" s="4165">
        <f>'ANEXA 1'!D101</f>
        <v>0</v>
      </c>
      <c r="E70" s="4165"/>
      <c r="F70" s="4165"/>
    </row>
    <row r="71" spans="1:7" ht="15">
      <c r="B71" s="313"/>
      <c r="C71" s="313"/>
      <c r="D71" s="316"/>
      <c r="E71" s="317"/>
      <c r="F71" s="315"/>
    </row>
    <row r="72" spans="1:7" ht="12.75" customHeight="1">
      <c r="B72" s="313"/>
      <c r="C72" s="421"/>
      <c r="D72" s="421"/>
      <c r="E72" s="1067"/>
      <c r="F72" s="1067"/>
    </row>
    <row r="73" spans="1:7">
      <c r="B73" s="313"/>
      <c r="C73" s="421"/>
      <c r="D73" s="421"/>
      <c r="E73" s="313"/>
      <c r="F73" s="313"/>
    </row>
  </sheetData>
  <sheetProtection password="CFDD" sheet="1" objects="1" scenarios="1"/>
  <mergeCells count="41">
    <mergeCell ref="D68:F68"/>
    <mergeCell ref="D70:F70"/>
    <mergeCell ref="A64:B64"/>
    <mergeCell ref="A16:A19"/>
    <mergeCell ref="C16:C17"/>
    <mergeCell ref="D16:D17"/>
    <mergeCell ref="A63:B63"/>
    <mergeCell ref="D63:F63"/>
    <mergeCell ref="B41:F41"/>
    <mergeCell ref="A43:A45"/>
    <mergeCell ref="B43:B45"/>
    <mergeCell ref="C43:C45"/>
    <mergeCell ref="F43:F45"/>
    <mergeCell ref="A61:B61"/>
    <mergeCell ref="D61:F61"/>
    <mergeCell ref="A20:A23"/>
    <mergeCell ref="A68:B68"/>
    <mergeCell ref="A70:B70"/>
    <mergeCell ref="A1:E1"/>
    <mergeCell ref="D12:D13"/>
    <mergeCell ref="E12:E13"/>
    <mergeCell ref="A12:A15"/>
    <mergeCell ref="C12:C13"/>
    <mergeCell ref="C14:C15"/>
    <mergeCell ref="D14:D15"/>
    <mergeCell ref="E14:E15"/>
    <mergeCell ref="D22:D23"/>
    <mergeCell ref="E16:E17"/>
    <mergeCell ref="C18:C19"/>
    <mergeCell ref="D18:D19"/>
    <mergeCell ref="E18:E19"/>
    <mergeCell ref="C20:C21"/>
    <mergeCell ref="C46:C48"/>
    <mergeCell ref="C49:C51"/>
    <mergeCell ref="C52:C54"/>
    <mergeCell ref="B6:E6"/>
    <mergeCell ref="B7:E7"/>
    <mergeCell ref="E20:E21"/>
    <mergeCell ref="E22:E23"/>
    <mergeCell ref="D20:D21"/>
    <mergeCell ref="C22:C23"/>
  </mergeCells>
  <phoneticPr fontId="0" type="noConversion"/>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1">
    <tabColor theme="2" tint="-0.249977111117893"/>
  </sheetPr>
  <dimension ref="A1:I67"/>
  <sheetViews>
    <sheetView showZeros="0" workbookViewId="0">
      <selection activeCell="B52" sqref="B52"/>
    </sheetView>
  </sheetViews>
  <sheetFormatPr defaultColWidth="9.140625" defaultRowHeight="14.25"/>
  <cols>
    <col min="1" max="1" width="54.7109375" style="1799" customWidth="1"/>
    <col min="2" max="2" width="18.28515625" style="1799" customWidth="1"/>
    <col min="3" max="3" width="23.28515625" style="1799" customWidth="1"/>
    <col min="4" max="4" width="9.140625" style="1799"/>
    <col min="5" max="5" width="11.85546875" style="1799" customWidth="1"/>
    <col min="6" max="6" width="11.140625" style="1799" customWidth="1"/>
    <col min="7" max="16384" width="9.140625" style="1799"/>
  </cols>
  <sheetData>
    <row r="1" spans="1:9" ht="15">
      <c r="A1" s="243" t="str">
        <f>'ANEXA 1'!A1</f>
        <v>CASA  DE  ASIGURĂRI  DE  SĂNĂTATE MEHEDINTI</v>
      </c>
    </row>
    <row r="4" spans="1:9" ht="15">
      <c r="A4" s="4314" t="s">
        <v>1244</v>
      </c>
      <c r="B4" s="4314"/>
      <c r="C4" s="4314"/>
      <c r="D4" s="312"/>
      <c r="E4" s="312"/>
      <c r="F4" s="312"/>
      <c r="G4" s="312"/>
      <c r="H4" s="312"/>
      <c r="I4" s="312"/>
    </row>
    <row r="5" spans="1:9" ht="15">
      <c r="A5" s="1800"/>
      <c r="B5" s="1800"/>
      <c r="C5" s="1800"/>
      <c r="D5" s="1800"/>
      <c r="E5" s="1800"/>
      <c r="F5" s="1800"/>
    </row>
    <row r="6" spans="1:9" ht="26.25" customHeight="1">
      <c r="A6" s="4315" t="s">
        <v>1245</v>
      </c>
      <c r="B6" s="4316" t="s">
        <v>2499</v>
      </c>
      <c r="C6" s="4316"/>
      <c r="D6" s="1800"/>
      <c r="E6" s="1800"/>
      <c r="F6" s="1800"/>
    </row>
    <row r="7" spans="1:9" ht="15">
      <c r="A7" s="4315"/>
      <c r="B7" s="1795" t="s">
        <v>1246</v>
      </c>
      <c r="C7" s="1801" t="s">
        <v>1247</v>
      </c>
    </row>
    <row r="8" spans="1:9">
      <c r="A8" s="2001" t="s">
        <v>1248</v>
      </c>
      <c r="B8" s="2002" t="s">
        <v>482</v>
      </c>
      <c r="C8" s="2001" t="s">
        <v>490</v>
      </c>
      <c r="F8" s="1802"/>
    </row>
    <row r="9" spans="1:9" ht="20.45" customHeight="1">
      <c r="A9" s="2003" t="s">
        <v>1249</v>
      </c>
      <c r="B9" s="1843"/>
      <c r="C9" s="1844"/>
      <c r="E9" s="1803"/>
      <c r="F9" s="1802"/>
      <c r="G9" s="478"/>
      <c r="H9" s="1803" t="str">
        <f>IF(E9&lt;E10+E11+E12+E13+E14+E15,"EROARE"," ")</f>
        <v xml:space="preserve"> </v>
      </c>
    </row>
    <row r="10" spans="1:9" ht="28.5">
      <c r="A10" s="2004" t="s">
        <v>1250</v>
      </c>
      <c r="B10" s="1804"/>
      <c r="C10" s="1805"/>
      <c r="F10" s="1802"/>
    </row>
    <row r="11" spans="1:9" ht="28.5">
      <c r="A11" s="1807" t="s">
        <v>1251</v>
      </c>
      <c r="B11" s="1804"/>
      <c r="C11" s="1806"/>
      <c r="F11" s="1802"/>
    </row>
    <row r="12" spans="1:9" ht="28.5">
      <c r="A12" s="1807" t="s">
        <v>1252</v>
      </c>
      <c r="B12" s="1804"/>
      <c r="C12" s="1806"/>
      <c r="F12" s="1808"/>
    </row>
    <row r="13" spans="1:9" ht="57">
      <c r="A13" s="1809" t="s">
        <v>1253</v>
      </c>
      <c r="B13" s="1804"/>
      <c r="C13" s="1806"/>
      <c r="F13" s="1808"/>
    </row>
    <row r="14" spans="1:9" ht="42.75">
      <c r="A14" s="1372" t="s">
        <v>2069</v>
      </c>
      <c r="B14" s="1804"/>
      <c r="C14" s="1806"/>
      <c r="F14" s="1808"/>
    </row>
    <row r="15" spans="1:9" ht="42.75">
      <c r="A15" s="1809" t="s">
        <v>1254</v>
      </c>
      <c r="B15" s="1810"/>
      <c r="C15" s="1811"/>
      <c r="F15" s="1808"/>
    </row>
    <row r="16" spans="1:9" ht="18" customHeight="1">
      <c r="A16" s="2005" t="s">
        <v>2070</v>
      </c>
      <c r="B16" s="1841"/>
      <c r="C16" s="1842"/>
      <c r="E16" s="1803"/>
      <c r="F16" s="1808"/>
    </row>
    <row r="17" spans="1:6">
      <c r="A17" s="1812" t="s">
        <v>2071</v>
      </c>
      <c r="B17" s="1810"/>
      <c r="C17" s="1811"/>
      <c r="F17" s="1808"/>
    </row>
    <row r="18" spans="1:6">
      <c r="A18" s="1812" t="s">
        <v>2072</v>
      </c>
      <c r="B18" s="1810"/>
      <c r="C18" s="1811"/>
      <c r="F18" s="1808"/>
    </row>
    <row r="19" spans="1:6">
      <c r="A19" s="1812" t="s">
        <v>2335</v>
      </c>
      <c r="B19" s="1810"/>
      <c r="C19" s="1811"/>
      <c r="F19" s="1808"/>
    </row>
    <row r="20" spans="1:6">
      <c r="A20" s="1812" t="s">
        <v>2336</v>
      </c>
      <c r="B20" s="1810"/>
      <c r="C20" s="1811"/>
      <c r="F20" s="1808"/>
    </row>
    <row r="21" spans="1:6">
      <c r="A21" s="1812" t="s">
        <v>2337</v>
      </c>
      <c r="B21" s="1810"/>
      <c r="C21" s="1811"/>
      <c r="F21" s="1808"/>
    </row>
    <row r="22" spans="1:6" ht="30">
      <c r="A22" s="1813" t="s">
        <v>1255</v>
      </c>
      <c r="B22" s="1997"/>
      <c r="C22" s="1998"/>
      <c r="F22" s="1808"/>
    </row>
    <row r="23" spans="1:6" ht="30">
      <c r="A23" s="2006" t="s">
        <v>786</v>
      </c>
      <c r="B23" s="1839"/>
      <c r="C23" s="1840"/>
      <c r="E23" s="1803"/>
      <c r="F23" s="1808"/>
    </row>
    <row r="24" spans="1:6">
      <c r="A24" s="2007" t="s">
        <v>2218</v>
      </c>
      <c r="B24" s="1810"/>
      <c r="C24" s="1811"/>
      <c r="F24" s="1808"/>
    </row>
    <row r="25" spans="1:6">
      <c r="A25" s="2007" t="s">
        <v>2219</v>
      </c>
      <c r="B25" s="1810"/>
      <c r="C25" s="1811"/>
      <c r="F25" s="1808"/>
    </row>
    <row r="26" spans="1:6">
      <c r="A26" s="1812" t="s">
        <v>1256</v>
      </c>
      <c r="B26" s="1810"/>
      <c r="C26" s="1811"/>
      <c r="F26" s="1808"/>
    </row>
    <row r="27" spans="1:6" ht="28.5">
      <c r="A27" s="1812" t="s">
        <v>1257</v>
      </c>
      <c r="B27" s="1810"/>
      <c r="C27" s="1811"/>
      <c r="F27" s="1808"/>
    </row>
    <row r="28" spans="1:6" ht="28.5">
      <c r="A28" s="1812" t="s">
        <v>1258</v>
      </c>
      <c r="B28" s="1810"/>
      <c r="C28" s="1811"/>
      <c r="F28" s="1808"/>
    </row>
    <row r="29" spans="1:6" ht="21.6" customHeight="1">
      <c r="A29" s="1812" t="s">
        <v>1259</v>
      </c>
      <c r="B29" s="1810"/>
      <c r="C29" s="1811"/>
      <c r="F29" s="1808"/>
    </row>
    <row r="30" spans="1:6" ht="28.5">
      <c r="A30" s="2810" t="s">
        <v>2504</v>
      </c>
      <c r="B30" s="2811"/>
      <c r="C30" s="2812"/>
      <c r="F30" s="1808"/>
    </row>
    <row r="31" spans="1:6" ht="42.75">
      <c r="A31" s="2810" t="s">
        <v>2505</v>
      </c>
      <c r="B31" s="2811"/>
      <c r="C31" s="2812"/>
      <c r="F31" s="1808"/>
    </row>
    <row r="32" spans="1:6" ht="21.75" customHeight="1">
      <c r="A32" s="1812" t="s">
        <v>1260</v>
      </c>
      <c r="B32" s="1810"/>
      <c r="C32" s="1811"/>
      <c r="F32" s="1808"/>
    </row>
    <row r="33" spans="1:6" ht="28.5">
      <c r="A33" s="1812" t="s">
        <v>1261</v>
      </c>
      <c r="B33" s="1810"/>
      <c r="C33" s="1811"/>
      <c r="F33" s="1802"/>
    </row>
    <row r="34" spans="1:6">
      <c r="A34" s="2008" t="s">
        <v>1262</v>
      </c>
      <c r="B34" s="1810"/>
      <c r="C34" s="1811"/>
    </row>
    <row r="35" spans="1:6" ht="15">
      <c r="A35" s="2009" t="s">
        <v>1646</v>
      </c>
      <c r="B35" s="1841"/>
      <c r="C35" s="1842"/>
      <c r="E35" s="1803"/>
    </row>
    <row r="36" spans="1:6">
      <c r="A36" s="2007" t="s">
        <v>2218</v>
      </c>
      <c r="B36" s="1810"/>
      <c r="C36" s="1811"/>
    </row>
    <row r="37" spans="1:6">
      <c r="A37" s="2007" t="s">
        <v>2219</v>
      </c>
      <c r="B37" s="1810"/>
      <c r="C37" s="1811"/>
    </row>
    <row r="38" spans="1:6" ht="30">
      <c r="A38" s="2009" t="s">
        <v>1263</v>
      </c>
      <c r="B38" s="1841"/>
      <c r="C38" s="1842"/>
      <c r="E38" s="1803"/>
    </row>
    <row r="39" spans="1:6" ht="30">
      <c r="A39" s="2010" t="s">
        <v>2220</v>
      </c>
      <c r="B39" s="1841"/>
      <c r="C39" s="1842"/>
      <c r="E39" s="1803"/>
    </row>
    <row r="40" spans="1:6">
      <c r="A40" s="2007" t="s">
        <v>2219</v>
      </c>
      <c r="B40" s="1810"/>
      <c r="C40" s="1811"/>
    </row>
    <row r="41" spans="1:6">
      <c r="A41" s="2011" t="s">
        <v>1272</v>
      </c>
      <c r="B41" s="1810"/>
      <c r="C41" s="1811"/>
    </row>
    <row r="42" spans="1:6" ht="28.5">
      <c r="A42" s="2012" t="s">
        <v>1265</v>
      </c>
      <c r="B42" s="1810"/>
      <c r="C42" s="1811"/>
    </row>
    <row r="43" spans="1:6" ht="28.5">
      <c r="A43" s="1999" t="s">
        <v>1266</v>
      </c>
      <c r="B43" s="1810"/>
      <c r="C43" s="1811"/>
    </row>
    <row r="44" spans="1:6" ht="28.5">
      <c r="A44" s="2000" t="s">
        <v>1267</v>
      </c>
      <c r="B44" s="1810"/>
      <c r="C44" s="1811"/>
    </row>
    <row r="45" spans="1:6" ht="32.25" customHeight="1">
      <c r="A45" s="1815" t="s">
        <v>1268</v>
      </c>
      <c r="B45" s="1810"/>
      <c r="C45" s="1811"/>
    </row>
    <row r="46" spans="1:6" ht="22.9" customHeight="1">
      <c r="A46" s="2813" t="s">
        <v>2506</v>
      </c>
      <c r="B46" s="2811"/>
      <c r="C46" s="2812"/>
    </row>
    <row r="47" spans="1:6" ht="30">
      <c r="A47" s="2013" t="s">
        <v>1269</v>
      </c>
      <c r="B47" s="1841"/>
      <c r="C47" s="1842"/>
      <c r="E47" s="1816"/>
      <c r="F47" s="1817"/>
    </row>
    <row r="48" spans="1:6" ht="28.5">
      <c r="A48" s="2014" t="s">
        <v>1270</v>
      </c>
      <c r="B48" s="1810"/>
      <c r="C48" s="1811"/>
      <c r="E48" s="1816" t="str">
        <f t="shared" ref="E48:E50" si="0">IF(B48=0,"EROARE"," ")</f>
        <v>EROARE</v>
      </c>
      <c r="F48" s="1817" t="str">
        <f t="shared" ref="F48:F50" si="1">IF(C48=0,"EROARE"," ")</f>
        <v>EROARE</v>
      </c>
    </row>
    <row r="49" spans="1:6" ht="28.5">
      <c r="A49" s="1818" t="s">
        <v>1271</v>
      </c>
      <c r="B49" s="1810"/>
      <c r="C49" s="1811"/>
      <c r="E49" s="1816" t="str">
        <f t="shared" si="0"/>
        <v>EROARE</v>
      </c>
      <c r="F49" s="1817" t="str">
        <f t="shared" si="1"/>
        <v>EROARE</v>
      </c>
    </row>
    <row r="50" spans="1:6" ht="24" customHeight="1">
      <c r="A50" s="1814" t="s">
        <v>1272</v>
      </c>
      <c r="B50" s="2058"/>
      <c r="C50" s="2059"/>
      <c r="E50" s="1816" t="str">
        <f t="shared" si="0"/>
        <v>EROARE</v>
      </c>
      <c r="F50" s="1817" t="str">
        <f t="shared" si="1"/>
        <v>EROARE</v>
      </c>
    </row>
    <row r="51" spans="1:6">
      <c r="F51" s="1819"/>
    </row>
    <row r="52" spans="1:6" ht="23.25" customHeight="1">
      <c r="A52" s="1797" t="str">
        <f>+'ANEXA 1'!B94</f>
        <v>DIRECTOR  GENERAL,</v>
      </c>
      <c r="B52" s="1820"/>
      <c r="C52" s="1820"/>
    </row>
    <row r="53" spans="1:6" ht="15.75" customHeight="1">
      <c r="A53" s="1796" t="str">
        <f>+'ANEXA 1'!B96</f>
        <v>EC.ALBU DRINA</v>
      </c>
      <c r="B53" s="1073"/>
    </row>
    <row r="54" spans="1:6">
      <c r="A54" s="1967">
        <f>'ANEXA 1'!B97</f>
        <v>0</v>
      </c>
    </row>
    <row r="55" spans="1:6" ht="15.75" customHeight="1">
      <c r="B55" s="1073"/>
    </row>
    <row r="56" spans="1:6" ht="15.75" customHeight="1">
      <c r="A56" s="1821">
        <f>'ANEXA 1'!B99</f>
        <v>0</v>
      </c>
      <c r="B56" s="4150" t="str">
        <f>+'ANEXA 1'!D94</f>
        <v>DIRECTOR  EXECUTIV  ECONOMIC,</v>
      </c>
      <c r="C56" s="4150"/>
    </row>
    <row r="58" spans="1:6" ht="15">
      <c r="A58" s="1798">
        <f>'ANEXA 1'!B101</f>
        <v>0</v>
      </c>
      <c r="B58" s="4150" t="str">
        <f>+'ANEXA 1'!D96</f>
        <v>EC.BIRCU FLORINA</v>
      </c>
      <c r="C58" s="4150"/>
      <c r="F58" s="1802"/>
    </row>
    <row r="59" spans="1:6">
      <c r="F59" s="1808"/>
    </row>
    <row r="60" spans="1:6" ht="15" customHeight="1">
      <c r="A60" s="1073"/>
      <c r="B60" s="4312">
        <f>'ANEXA 1'!D99</f>
        <v>0</v>
      </c>
      <c r="C60" s="4312"/>
      <c r="F60" s="1808"/>
    </row>
    <row r="61" spans="1:6" ht="15">
      <c r="A61" s="154"/>
      <c r="B61" s="4313">
        <f>'ANEXA 1'!D101</f>
        <v>0</v>
      </c>
      <c r="C61" s="4313"/>
      <c r="F61" s="1808"/>
    </row>
    <row r="62" spans="1:6" ht="15" customHeight="1">
      <c r="A62" s="1073"/>
      <c r="B62" s="1073"/>
      <c r="C62" s="1073"/>
      <c r="F62" s="1808"/>
    </row>
    <row r="63" spans="1:6">
      <c r="F63" s="1808"/>
    </row>
    <row r="64" spans="1:6">
      <c r="F64" s="1808"/>
    </row>
    <row r="65" spans="2:6" ht="12.75" customHeight="1">
      <c r="D65" s="314"/>
      <c r="F65" s="1808"/>
    </row>
    <row r="66" spans="2:6" ht="15">
      <c r="B66" s="316"/>
      <c r="C66" s="1822"/>
      <c r="D66" s="1062"/>
      <c r="F66" s="1802"/>
    </row>
    <row r="67" spans="2:6" ht="12.75" customHeight="1">
      <c r="B67" s="1082"/>
      <c r="C67" s="1082"/>
      <c r="D67" s="1823"/>
    </row>
  </sheetData>
  <mergeCells count="7">
    <mergeCell ref="B60:C60"/>
    <mergeCell ref="B61:C61"/>
    <mergeCell ref="A4:C4"/>
    <mergeCell ref="A6:A7"/>
    <mergeCell ref="B6:C6"/>
    <mergeCell ref="B56:C56"/>
    <mergeCell ref="B58:C58"/>
  </mergeCells>
  <phoneticPr fontId="0" type="noConversion"/>
  <pageMargins left="1.1417322834645669" right="0.35433070866141736" top="0.43307086614173229" bottom="0.9055118110236221" header="0.51181102362204722" footer="0.9055118110236221"/>
  <pageSetup paperSize="9" scale="91" firstPageNumber="0" orientation="portrait" horizontalDpi="300" verticalDpi="300" r:id="rId1"/>
  <headerFooter alignWithMargins="0">
    <oddFooter>&amp;C&amp;A</oddFooter>
  </headerFooter>
  <rowBreaks count="1" manualBreakCount="1">
    <brk id="41" max="2"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22">
    <tabColor theme="2" tint="-0.249977111117893"/>
  </sheetPr>
  <dimension ref="A1:H91"/>
  <sheetViews>
    <sheetView showZeros="0" topLeftCell="A55" workbookViewId="0">
      <selection activeCell="K68" sqref="K68"/>
    </sheetView>
  </sheetViews>
  <sheetFormatPr defaultColWidth="9.140625" defaultRowHeight="12.75"/>
  <cols>
    <col min="1" max="1" width="20.140625" style="514" customWidth="1"/>
    <col min="2" max="2" width="33.7109375" style="514" customWidth="1"/>
    <col min="3" max="3" width="19.42578125" style="514" customWidth="1"/>
    <col min="4" max="4" width="26" style="514" customWidth="1"/>
    <col min="5" max="5" width="20.5703125" style="514" customWidth="1"/>
    <col min="6" max="6" width="13.5703125" style="515" customWidth="1"/>
    <col min="7" max="7" width="15.85546875" style="515" customWidth="1"/>
    <col min="8" max="8" width="13.140625" style="514" customWidth="1"/>
    <col min="9" max="16384" width="9.140625" style="514"/>
  </cols>
  <sheetData>
    <row r="1" spans="1:8" ht="15">
      <c r="A1" s="337" t="str">
        <f>'ANEXA 1'!A1:E1</f>
        <v>CASA  DE  ASIGURĂRI  DE  SĂNĂTATE MEHEDINTI</v>
      </c>
      <c r="B1" s="337"/>
      <c r="C1" s="337"/>
      <c r="D1" s="337"/>
      <c r="E1" s="337"/>
    </row>
    <row r="2" spans="1:8">
      <c r="E2" s="516" t="s">
        <v>1225</v>
      </c>
    </row>
    <row r="3" spans="1:8" ht="15.75">
      <c r="A3" s="4345" t="s">
        <v>1226</v>
      </c>
      <c r="B3" s="4345"/>
      <c r="C3" s="4345"/>
      <c r="D3" s="4345"/>
      <c r="E3" s="4345"/>
      <c r="F3" s="517"/>
      <c r="G3" s="517"/>
    </row>
    <row r="4" spans="1:8" ht="15.75">
      <c r="A4" s="4346" t="s">
        <v>1273</v>
      </c>
      <c r="B4" s="4346"/>
      <c r="C4" s="4346"/>
      <c r="D4" s="4346"/>
      <c r="E4" s="4346"/>
      <c r="F4" s="518"/>
      <c r="G4" s="518"/>
    </row>
    <row r="5" spans="1:8" ht="15.75">
      <c r="A5" s="4346" t="s">
        <v>1223</v>
      </c>
      <c r="B5" s="4346"/>
      <c r="C5" s="4346"/>
      <c r="D5" s="4346"/>
      <c r="E5" s="4346"/>
      <c r="F5" s="518"/>
      <c r="G5" s="518"/>
    </row>
    <row r="6" spans="1:8" ht="15.75">
      <c r="A6" s="4346" t="s">
        <v>1224</v>
      </c>
      <c r="B6" s="4346"/>
      <c r="C6" s="4346"/>
      <c r="D6" s="4346"/>
      <c r="E6" s="4346"/>
      <c r="F6" s="518"/>
      <c r="G6" s="518"/>
    </row>
    <row r="7" spans="1:8" ht="15.75">
      <c r="A7" s="484" t="s">
        <v>1274</v>
      </c>
      <c r="C7" s="484"/>
      <c r="D7" s="484"/>
      <c r="E7" s="484"/>
      <c r="F7" s="483"/>
      <c r="G7" s="483"/>
    </row>
    <row r="8" spans="1:8" ht="25.5">
      <c r="A8" s="2247"/>
      <c r="B8" s="2248" t="s">
        <v>1228</v>
      </c>
      <c r="C8" s="2249" t="s">
        <v>2390</v>
      </c>
      <c r="D8" s="2249" t="s">
        <v>2391</v>
      </c>
      <c r="E8" s="2250" t="s">
        <v>2392</v>
      </c>
      <c r="G8" s="483"/>
    </row>
    <row r="9" spans="1:8" ht="15.75" customHeight="1" thickBot="1">
      <c r="A9" s="4329" t="s">
        <v>1275</v>
      </c>
      <c r="B9" s="2251" t="s">
        <v>1229</v>
      </c>
      <c r="C9" s="4281" t="e">
        <f>+'CONT EXECUTIE  '!C227/'ANEXA 26 (2.1)'!C12</f>
        <v>#DIV/0!</v>
      </c>
      <c r="D9" s="4281" t="e">
        <f>+'CONT EXECUTIE  '!D227/'ANEXA 26 (2.1)'!D12</f>
        <v>#DIV/0!</v>
      </c>
      <c r="E9" s="4277" t="e">
        <f>PLATI!C204/'ANEXA 26 (2.1)'!E12</f>
        <v>#DIV/0!</v>
      </c>
      <c r="F9" s="129" t="e">
        <f>IF(C9=1,"EROARE"," ")</f>
        <v>#DIV/0!</v>
      </c>
      <c r="G9" s="129" t="e">
        <f>IF(D9=1,"EROARE"," ")</f>
        <v>#DIV/0!</v>
      </c>
      <c r="H9" s="129" t="e">
        <f>IF(E9=1,"EROARE"," ")</f>
        <v>#DIV/0!</v>
      </c>
    </row>
    <row r="10" spans="1:8" ht="15" customHeight="1" thickBot="1">
      <c r="A10" s="4330"/>
      <c r="B10" s="4347" t="s">
        <v>1276</v>
      </c>
      <c r="C10" s="4282"/>
      <c r="D10" s="4282"/>
      <c r="E10" s="4278"/>
      <c r="G10" s="483"/>
    </row>
    <row r="11" spans="1:8" ht="15.6" customHeight="1" thickBot="1">
      <c r="A11" s="4330"/>
      <c r="B11" s="4348"/>
      <c r="C11" s="4282"/>
      <c r="D11" s="4282"/>
      <c r="E11" s="4278"/>
      <c r="G11" s="483"/>
    </row>
    <row r="12" spans="1:8" ht="15.75" thickBot="1">
      <c r="A12" s="4330"/>
      <c r="B12" s="1988" t="s">
        <v>1230</v>
      </c>
      <c r="C12" s="4283"/>
      <c r="D12" s="4292">
        <f>C12</f>
        <v>0</v>
      </c>
      <c r="E12" s="4325"/>
      <c r="F12" s="129" t="str">
        <f>IF(C12=0,"EROARE"," ")</f>
        <v>EROARE</v>
      </c>
      <c r="G12" s="129" t="str">
        <f>IF(D12=0,"EROARE"," ")</f>
        <v>EROARE</v>
      </c>
      <c r="H12" s="129" t="str">
        <f>IF(E12=0,"EROARE"," ")</f>
        <v>EROARE</v>
      </c>
    </row>
    <row r="13" spans="1:8" ht="26.25">
      <c r="A13" s="4331"/>
      <c r="B13" s="2252" t="s">
        <v>2507</v>
      </c>
      <c r="C13" s="4284"/>
      <c r="D13" s="4293"/>
      <c r="E13" s="4332"/>
      <c r="F13" s="129"/>
      <c r="G13" s="129"/>
      <c r="H13" s="3042" t="str">
        <f>IF(C12=E12,"EROARE"," ")</f>
        <v>EROARE</v>
      </c>
    </row>
    <row r="14" spans="1:8" ht="12.75" customHeight="1" thickBot="1">
      <c r="A14" s="4329" t="s">
        <v>1277</v>
      </c>
      <c r="B14" s="2253" t="s">
        <v>1229</v>
      </c>
      <c r="C14" s="4281" t="e">
        <f>('CONT EXECUTIE  '!C235)/'ANEXA 26 (2.1)'!C16</f>
        <v>#DIV/0!</v>
      </c>
      <c r="D14" s="4281" t="e">
        <f>('CONT EXECUTIE  '!D235)/'ANEXA 26 (2.1)'!D16</f>
        <v>#DIV/0!</v>
      </c>
      <c r="E14" s="4277" t="e">
        <f>(PLATI!C212)/'ANEXA 26 (2.1)'!E16</f>
        <v>#DIV/0!</v>
      </c>
      <c r="F14" s="129" t="e">
        <f>IF(C14=1,"EROARE"," ")</f>
        <v>#DIV/0!</v>
      </c>
      <c r="G14" s="129" t="e">
        <f>IF(D14=1,"EROARE"," ")</f>
        <v>#DIV/0!</v>
      </c>
      <c r="H14" s="129" t="e">
        <f>IF(E14=1,"EROARE"," ")</f>
        <v>#DIV/0!</v>
      </c>
    </row>
    <row r="15" spans="1:8" ht="12.75" customHeight="1" thickBot="1">
      <c r="A15" s="4330"/>
      <c r="B15" s="1086" t="s">
        <v>1281</v>
      </c>
      <c r="C15" s="4282"/>
      <c r="D15" s="4282"/>
      <c r="E15" s="4278"/>
      <c r="F15" s="520"/>
      <c r="G15" s="520"/>
    </row>
    <row r="16" spans="1:8" ht="15.75" customHeight="1" thickBot="1">
      <c r="A16" s="4330"/>
      <c r="B16" s="519" t="s">
        <v>1230</v>
      </c>
      <c r="C16" s="4283"/>
      <c r="D16" s="4292">
        <f>C16</f>
        <v>0</v>
      </c>
      <c r="E16" s="4325"/>
      <c r="F16" s="129" t="str">
        <f>IF(C16=0,"EROARE"," ")</f>
        <v>EROARE</v>
      </c>
      <c r="G16" s="129" t="str">
        <f>IF(D16=0,"EROARE"," ")</f>
        <v>EROARE</v>
      </c>
      <c r="H16" s="129" t="str">
        <f>IF(E16=0,"EROARE"," ")</f>
        <v>EROARE</v>
      </c>
    </row>
    <row r="17" spans="1:8" ht="24.75" customHeight="1">
      <c r="A17" s="4331"/>
      <c r="B17" s="2254" t="s">
        <v>1278</v>
      </c>
      <c r="C17" s="4284"/>
      <c r="D17" s="4293"/>
      <c r="E17" s="4332"/>
      <c r="F17" s="520"/>
      <c r="G17" s="520"/>
      <c r="H17" s="3042" t="str">
        <f>IF(C16=E16,"EROARE"," ")</f>
        <v>EROARE</v>
      </c>
    </row>
    <row r="18" spans="1:8" ht="12.75" customHeight="1" thickBot="1">
      <c r="A18" s="4329" t="s">
        <v>1279</v>
      </c>
      <c r="B18" s="2253" t="s">
        <v>1229</v>
      </c>
      <c r="C18" s="4281" t="e">
        <f>('CONT EXECUTIE  '!C246+'CONT EXECUTIE  '!C257)/'ANEXA 26 (2.1)'!C20</f>
        <v>#DIV/0!</v>
      </c>
      <c r="D18" s="4281" t="e">
        <f>('CONT EXECUTIE  '!D246+'CONT EXECUTIE  '!D257)/'ANEXA 26 (2.1)'!D20</f>
        <v>#DIV/0!</v>
      </c>
      <c r="E18" s="4277" t="e">
        <f>(PLATI!C223+PLATI!C234)/'ANEXA 26 (2.1)'!E20</f>
        <v>#DIV/0!</v>
      </c>
      <c r="F18" s="129" t="e">
        <f>IF(C18=1,"EROARE"," ")</f>
        <v>#DIV/0!</v>
      </c>
      <c r="G18" s="129" t="e">
        <f>IF(D18=1,"EROARE"," ")</f>
        <v>#DIV/0!</v>
      </c>
      <c r="H18" s="129" t="e">
        <f>IF(E18=1,"EROARE"," ")</f>
        <v>#DIV/0!</v>
      </c>
    </row>
    <row r="19" spans="1:8" ht="12.75" customHeight="1" thickBot="1">
      <c r="A19" s="4330"/>
      <c r="B19" s="521" t="s">
        <v>1247</v>
      </c>
      <c r="C19" s="4282"/>
      <c r="D19" s="4282"/>
      <c r="E19" s="4278"/>
      <c r="F19" s="520"/>
      <c r="G19" s="520"/>
    </row>
    <row r="20" spans="1:8" ht="15.75" thickBot="1">
      <c r="A20" s="4330"/>
      <c r="B20" s="519" t="s">
        <v>1230</v>
      </c>
      <c r="C20" s="4283"/>
      <c r="D20" s="4292">
        <f>C20</f>
        <v>0</v>
      </c>
      <c r="E20" s="4325"/>
      <c r="F20" s="129" t="str">
        <f>IF(C20=0,"EROARE"," ")</f>
        <v>EROARE</v>
      </c>
      <c r="G20" s="129" t="str">
        <f>IF(D20=0,"EROARE"," ")</f>
        <v>EROARE</v>
      </c>
      <c r="H20" s="129" t="str">
        <f>IF(E20=0,"EROARE"," ")</f>
        <v>EROARE</v>
      </c>
    </row>
    <row r="21" spans="1:8" ht="25.5">
      <c r="A21" s="4331"/>
      <c r="B21" s="2254" t="s">
        <v>2508</v>
      </c>
      <c r="C21" s="4284"/>
      <c r="D21" s="4293"/>
      <c r="E21" s="4332"/>
      <c r="F21" s="520"/>
      <c r="G21" s="520"/>
      <c r="H21" s="3042" t="str">
        <f>IF(C20=E20,"EROARE"," ")</f>
        <v>EROARE</v>
      </c>
    </row>
    <row r="22" spans="1:8" ht="12.75" customHeight="1" thickBot="1">
      <c r="A22" s="4329" t="s">
        <v>1280</v>
      </c>
      <c r="B22" s="2253" t="s">
        <v>1229</v>
      </c>
      <c r="C22" s="4281" t="e">
        <f>'CONT EXECUTIE  '!C241/'ANEXA 26 (2.1)'!C24</f>
        <v>#DIV/0!</v>
      </c>
      <c r="D22" s="4281" t="e">
        <f>'CONT EXECUTIE  '!D241/'ANEXA 26 (2.1)'!D24</f>
        <v>#DIV/0!</v>
      </c>
      <c r="E22" s="4277" t="e">
        <f>PLATI!C218/'ANEXA 26 (2.1)'!E24</f>
        <v>#DIV/0!</v>
      </c>
      <c r="F22" s="129" t="e">
        <f>IF(C22=1,"EROARE"," ")</f>
        <v>#DIV/0!</v>
      </c>
      <c r="G22" s="129" t="e">
        <f>IF(D22=1,"EROARE"," ")</f>
        <v>#DIV/0!</v>
      </c>
      <c r="H22" s="129" t="e">
        <f>IF(E22=1,"EROARE"," ")</f>
        <v>#DIV/0!</v>
      </c>
    </row>
    <row r="23" spans="1:8" ht="12.75" customHeight="1" thickBot="1">
      <c r="A23" s="4330"/>
      <c r="B23" s="522" t="s">
        <v>1281</v>
      </c>
      <c r="C23" s="4282"/>
      <c r="D23" s="4282"/>
      <c r="E23" s="4278"/>
      <c r="F23" s="520"/>
      <c r="G23" s="520"/>
    </row>
    <row r="24" spans="1:8" ht="15.75" thickBot="1">
      <c r="A24" s="4330"/>
      <c r="B24" s="519" t="s">
        <v>1230</v>
      </c>
      <c r="C24" s="4283"/>
      <c r="D24" s="4292">
        <f>C24</f>
        <v>0</v>
      </c>
      <c r="E24" s="4325"/>
      <c r="F24" s="129"/>
      <c r="G24" s="129"/>
      <c r="H24" s="129"/>
    </row>
    <row r="25" spans="1:8" ht="15">
      <c r="A25" s="4331"/>
      <c r="B25" s="2255" t="s">
        <v>1282</v>
      </c>
      <c r="C25" s="4284"/>
      <c r="D25" s="4293"/>
      <c r="E25" s="4332"/>
      <c r="F25" s="129" t="str">
        <f>IF(C24=0,"EROARE"," ")</f>
        <v>EROARE</v>
      </c>
      <c r="G25" s="129" t="str">
        <f>IF(D24=0,"EROARE"," ")</f>
        <v>EROARE</v>
      </c>
      <c r="H25" s="3042" t="str">
        <f>IF(C24=E24,"EROARE"," ")</f>
        <v>EROARE</v>
      </c>
    </row>
    <row r="26" spans="1:8" ht="15" customHeight="1" thickBot="1">
      <c r="A26" s="4329" t="s">
        <v>1283</v>
      </c>
      <c r="B26" s="2253" t="s">
        <v>1229</v>
      </c>
      <c r="C26" s="4281" t="e">
        <f>'CONT EXECUTIE  '!C264/'ANEXA 26 (2.1)'!C28</f>
        <v>#DIV/0!</v>
      </c>
      <c r="D26" s="4281" t="e">
        <f>'CONT EXECUTIE  '!D264/'ANEXA 26 (2.1)'!D28</f>
        <v>#DIV/0!</v>
      </c>
      <c r="E26" s="4277" t="e">
        <f>PLATI!C241/'ANEXA 26 (2.1)'!E28</f>
        <v>#DIV/0!</v>
      </c>
      <c r="F26" s="129" t="e">
        <f>IF(C26=1,"EROARE"," ")</f>
        <v>#DIV/0!</v>
      </c>
      <c r="G26" s="129" t="e">
        <f>IF(D26=1,"EROARE"," ")</f>
        <v>#DIV/0!</v>
      </c>
      <c r="H26" s="129" t="e">
        <f>IF(E26=1,"EROARE"," ")</f>
        <v>#DIV/0!</v>
      </c>
    </row>
    <row r="27" spans="1:8" ht="20.25" customHeight="1" thickBot="1">
      <c r="A27" s="4330"/>
      <c r="B27" s="522" t="s">
        <v>1284</v>
      </c>
      <c r="C27" s="4282"/>
      <c r="D27" s="4282"/>
      <c r="E27" s="4278"/>
      <c r="F27" s="520"/>
      <c r="G27" s="520"/>
    </row>
    <row r="28" spans="1:8" ht="15" customHeight="1" thickBot="1">
      <c r="A28" s="4330"/>
      <c r="B28" s="519" t="s">
        <v>1230</v>
      </c>
      <c r="C28" s="4283"/>
      <c r="D28" s="4292">
        <f>C28</f>
        <v>0</v>
      </c>
      <c r="E28" s="4343"/>
      <c r="F28" s="129" t="str">
        <f>IF(C28=0,"EROARE"," ")</f>
        <v>EROARE</v>
      </c>
      <c r="G28" s="129" t="str">
        <f>IF(D28=0,"EROARE"," ")</f>
        <v>EROARE</v>
      </c>
      <c r="H28" s="129" t="str">
        <f>IF(E28=0,"EROARE"," ")</f>
        <v>EROARE</v>
      </c>
    </row>
    <row r="29" spans="1:8" ht="15" customHeight="1">
      <c r="A29" s="4331"/>
      <c r="B29" s="2256" t="s">
        <v>2334</v>
      </c>
      <c r="C29" s="4284"/>
      <c r="D29" s="4293"/>
      <c r="E29" s="4344"/>
      <c r="F29" s="520"/>
      <c r="G29" s="520"/>
      <c r="H29" s="3042" t="str">
        <f>IF(C28=E28,"EROARE"," ")</f>
        <v>EROARE</v>
      </c>
    </row>
    <row r="30" spans="1:8" ht="12.75" hidden="1" customHeight="1">
      <c r="A30" s="523"/>
      <c r="B30" s="519" t="s">
        <v>1229</v>
      </c>
      <c r="C30" s="4335"/>
      <c r="D30" s="4335"/>
      <c r="E30" s="4336"/>
      <c r="F30" s="129"/>
      <c r="G30" s="129"/>
      <c r="H30" s="129"/>
    </row>
    <row r="31" spans="1:8" ht="19.5" hidden="1" customHeight="1">
      <c r="A31" s="524"/>
      <c r="B31" s="525" t="s">
        <v>1285</v>
      </c>
      <c r="C31" s="4335"/>
      <c r="D31" s="4335"/>
      <c r="E31" s="4336"/>
      <c r="F31" s="520"/>
      <c r="G31" s="520"/>
    </row>
    <row r="32" spans="1:8" ht="15" hidden="1">
      <c r="A32" s="524"/>
      <c r="B32" s="526" t="s">
        <v>1230</v>
      </c>
      <c r="C32" s="4337"/>
      <c r="D32" s="4338"/>
      <c r="E32" s="4339"/>
      <c r="F32" s="129" t="str">
        <f>IF(C32=0,"EROARE"," ")</f>
        <v>EROARE</v>
      </c>
      <c r="G32" s="129" t="str">
        <f>IF(D32=0,"EROARE"," ")</f>
        <v>EROARE</v>
      </c>
      <c r="H32" s="129" t="str">
        <f>IF(E32=0,"EROARE"," ")</f>
        <v>EROARE</v>
      </c>
    </row>
    <row r="33" spans="1:8" hidden="1">
      <c r="A33" s="527"/>
      <c r="B33" s="528" t="s">
        <v>1286</v>
      </c>
      <c r="C33" s="4337"/>
      <c r="D33" s="4338"/>
      <c r="E33" s="4339"/>
      <c r="F33" s="520"/>
      <c r="G33" s="520"/>
    </row>
    <row r="34" spans="1:8" ht="12.75" customHeight="1" thickBot="1">
      <c r="A34" s="4329" t="s">
        <v>2513</v>
      </c>
      <c r="B34" s="2253" t="s">
        <v>1229</v>
      </c>
      <c r="C34" s="4281" t="e">
        <f>('CONT EXECUTIE  '!C269+'CONT EXECUTIE  '!C270)/'ANEXA 26 (2.1)'!C38</f>
        <v>#DIV/0!</v>
      </c>
      <c r="D34" s="4281" t="e">
        <f>('CONT EXECUTIE  '!D269+'CONT EXECUTIE  '!D270)/'ANEXA 26 (2.1)'!D38</f>
        <v>#DIV/0!</v>
      </c>
      <c r="E34" s="4340" t="e">
        <f>(PLATI!C246+PLATI!C247)/'ANEXA 26 (2.1)'!E38</f>
        <v>#DIV/0!</v>
      </c>
      <c r="F34" s="129" t="e">
        <f>IF(C34=1,"EROARE"," ")</f>
        <v>#DIV/0!</v>
      </c>
      <c r="G34" s="129" t="e">
        <f>IF(D34=1,"EROARE"," ")</f>
        <v>#DIV/0!</v>
      </c>
      <c r="H34" s="129" t="e">
        <f>IF(E34=1,"EROARE"," ")</f>
        <v>#DIV/0!</v>
      </c>
    </row>
    <row r="35" spans="1:8" ht="18" customHeight="1" thickBot="1">
      <c r="A35" s="4330"/>
      <c r="B35" s="522" t="s">
        <v>1287</v>
      </c>
      <c r="C35" s="4282"/>
      <c r="D35" s="4282"/>
      <c r="E35" s="4341"/>
      <c r="F35" s="520"/>
      <c r="G35" s="529"/>
    </row>
    <row r="36" spans="1:8" ht="14.45" customHeight="1" thickBot="1">
      <c r="A36" s="4330"/>
      <c r="B36" s="519" t="s">
        <v>1230</v>
      </c>
      <c r="C36" s="4342"/>
      <c r="D36" s="4292">
        <f>C36</f>
        <v>0</v>
      </c>
      <c r="E36" s="4325"/>
      <c r="F36" s="129" t="str">
        <f>IF(C36=0,"EROARE"," ")</f>
        <v>EROARE</v>
      </c>
      <c r="G36" s="129" t="str">
        <f>IF(D36=0,"EROARE"," ")</f>
        <v>EROARE</v>
      </c>
      <c r="H36" s="129" t="str">
        <f>IF(E36=0,"EROARE"," ")</f>
        <v>EROARE</v>
      </c>
    </row>
    <row r="37" spans="1:8" ht="13.5" thickBot="1">
      <c r="A37" s="4330"/>
      <c r="B37" s="2257" t="s">
        <v>1288</v>
      </c>
      <c r="C37" s="4342"/>
      <c r="D37" s="4324"/>
      <c r="E37" s="4326"/>
      <c r="F37" s="520"/>
      <c r="G37" s="520"/>
    </row>
    <row r="38" spans="1:8" ht="32.450000000000003" customHeight="1">
      <c r="A38" s="4331"/>
      <c r="B38" s="2258" t="s">
        <v>2509</v>
      </c>
      <c r="C38" s="2259"/>
      <c r="D38" s="2260">
        <f>C38</f>
        <v>0</v>
      </c>
      <c r="E38" s="2261"/>
      <c r="F38" s="129" t="str">
        <f>IF(C38=0,"EROARE"," ")</f>
        <v>EROARE</v>
      </c>
      <c r="G38" s="129" t="str">
        <f>IF(D38=0,"EROARE"," ")</f>
        <v>EROARE</v>
      </c>
      <c r="H38" s="3042" t="str">
        <f>IF(C38=E38,"EROARE"," ")</f>
        <v>EROARE</v>
      </c>
    </row>
    <row r="39" spans="1:8" ht="12.75" customHeight="1" thickBot="1">
      <c r="A39" s="4329" t="s">
        <v>1290</v>
      </c>
      <c r="B39" s="2253" t="s">
        <v>1229</v>
      </c>
      <c r="C39" s="4281" t="e">
        <f>('CONT EXECUTIE  '!C139+'CONT EXECUTIE  '!C142+'CONT EXECUTIE  '!C143)/'ANEXA 26 (2.1)'!C41</f>
        <v>#DIV/0!</v>
      </c>
      <c r="D39" s="4281" t="e">
        <f>('CONT EXECUTIE  '!D139+'CONT EXECUTIE  '!D142+'CONT EXECUTIE  '!D143)/'ANEXA 26 (2.1)'!D41</f>
        <v>#DIV/0!</v>
      </c>
      <c r="E39" s="4277" t="e">
        <f>(PLATI!C116+PLATI!C119+PLATI!C120)/'ANEXA 26 (2.1)'!E41</f>
        <v>#DIV/0!</v>
      </c>
      <c r="F39" s="129" t="e">
        <f>IF(C39=1,"EROARE"," ")</f>
        <v>#DIV/0!</v>
      </c>
      <c r="G39" s="129" t="e">
        <f>IF(D39=1,"EROARE"," ")</f>
        <v>#DIV/0!</v>
      </c>
      <c r="H39" s="129" t="e">
        <f>IF(E39=1,"EROARE"," ")</f>
        <v>#DIV/0!</v>
      </c>
    </row>
    <row r="40" spans="1:8" ht="12.75" customHeight="1" thickBot="1">
      <c r="A40" s="4330"/>
      <c r="B40" s="522" t="s">
        <v>2510</v>
      </c>
      <c r="C40" s="4282"/>
      <c r="D40" s="4282"/>
      <c r="E40" s="4278"/>
      <c r="F40" s="520"/>
      <c r="G40" s="520"/>
    </row>
    <row r="41" spans="1:8" ht="15.75" thickBot="1">
      <c r="A41" s="4330"/>
      <c r="B41" s="519" t="s">
        <v>1230</v>
      </c>
      <c r="C41" s="4283"/>
      <c r="D41" s="4292">
        <f>C41</f>
        <v>0</v>
      </c>
      <c r="E41" s="4325"/>
      <c r="F41" s="129" t="str">
        <f>IF(C41=0,"EROARE"," ")</f>
        <v>EROARE</v>
      </c>
      <c r="G41" s="129" t="str">
        <f>IF(D41=0,"EROARE"," ")</f>
        <v>EROARE</v>
      </c>
      <c r="H41" s="129" t="str">
        <f>IF(E41=0,"EROARE"," ")</f>
        <v>EROARE</v>
      </c>
    </row>
    <row r="42" spans="1:8" ht="12" customHeight="1">
      <c r="A42" s="4331"/>
      <c r="B42" s="2255" t="s">
        <v>1291</v>
      </c>
      <c r="C42" s="4284"/>
      <c r="D42" s="4333"/>
      <c r="E42" s="4334"/>
      <c r="F42" s="520"/>
      <c r="G42" s="520"/>
      <c r="H42" s="3042" t="str">
        <f>IF(C41=E41,"EROARE"," ")</f>
        <v>EROARE</v>
      </c>
    </row>
    <row r="43" spans="1:8" ht="12.75" customHeight="1" thickBot="1">
      <c r="A43" s="4329" t="s">
        <v>1292</v>
      </c>
      <c r="B43" s="2253" t="s">
        <v>1229</v>
      </c>
      <c r="C43" s="4281" t="e">
        <f>'CONT EXECUTIE  '!C223/'ANEXA 26 (2.1)'!C45</f>
        <v>#DIV/0!</v>
      </c>
      <c r="D43" s="4281" t="e">
        <f>'CONT EXECUTIE  '!D223/'ANEXA 26 (2.1)'!D45</f>
        <v>#DIV/0!</v>
      </c>
      <c r="E43" s="4277" t="e">
        <f>PLATI!C200/'ANEXA 26 (2.1)'!E45</f>
        <v>#DIV/0!</v>
      </c>
      <c r="F43" s="129" t="e">
        <f>IF(C43=1,"EROARE"," ")</f>
        <v>#DIV/0!</v>
      </c>
      <c r="G43" s="129" t="e">
        <f>IF(D43=1,"EROARE"," ")</f>
        <v>#DIV/0!</v>
      </c>
      <c r="H43" s="129" t="e">
        <f>IF(E43=1,"EROARE"," ")</f>
        <v>#DIV/0!</v>
      </c>
    </row>
    <row r="44" spans="1:8" ht="22.15" customHeight="1" thickBot="1">
      <c r="A44" s="4330"/>
      <c r="B44" s="1987" t="s">
        <v>1293</v>
      </c>
      <c r="C44" s="4282"/>
      <c r="D44" s="4282"/>
      <c r="E44" s="4278"/>
      <c r="F44" s="520"/>
      <c r="G44" s="520"/>
    </row>
    <row r="45" spans="1:8" ht="13.5" customHeight="1" thickBot="1">
      <c r="A45" s="4330"/>
      <c r="B45" s="519" t="s">
        <v>1230</v>
      </c>
      <c r="C45" s="4283"/>
      <c r="D45" s="4292">
        <f>C45</f>
        <v>0</v>
      </c>
      <c r="E45" s="4325"/>
      <c r="F45" s="129" t="str">
        <f>IF(C45=0,"EROARE"," ")</f>
        <v>EROARE</v>
      </c>
      <c r="G45" s="129" t="str">
        <f>IF(D45=0,"EROARE"," ")</f>
        <v>EROARE</v>
      </c>
      <c r="H45" s="129" t="str">
        <f>IF(E45=0,"EROARE"," ")</f>
        <v>EROARE</v>
      </c>
    </row>
    <row r="46" spans="1:8" ht="25.5" customHeight="1">
      <c r="A46" s="4331"/>
      <c r="B46" s="2262" t="s">
        <v>1294</v>
      </c>
      <c r="C46" s="4284"/>
      <c r="D46" s="4293"/>
      <c r="E46" s="4332"/>
      <c r="F46" s="520"/>
      <c r="G46" s="520"/>
      <c r="H46" s="3042" t="str">
        <f>IF(C45=E45,"EROARE"," ")</f>
        <v>EROARE</v>
      </c>
    </row>
    <row r="47" spans="1:8" ht="15" customHeight="1">
      <c r="A47" s="4317" t="s">
        <v>1295</v>
      </c>
      <c r="B47" s="2253" t="s">
        <v>1229</v>
      </c>
      <c r="C47" s="4281" t="e">
        <f>'CONT EXECUTIE  '!C290/'ANEXA 26 (2.1)'!C49</f>
        <v>#DIV/0!</v>
      </c>
      <c r="D47" s="4281" t="e">
        <f>'CONT EXECUTIE  '!D290/'ANEXA 26 (2.1)'!D49</f>
        <v>#DIV/0!</v>
      </c>
      <c r="E47" s="4322" t="e">
        <f>PLATI!C267/'ANEXA 26 (2.1)'!E49</f>
        <v>#DIV/0!</v>
      </c>
      <c r="F47" s="129" t="e">
        <f>IF(C47=1,"EROARE"," ")</f>
        <v>#DIV/0!</v>
      </c>
      <c r="G47" s="129" t="e">
        <f>IF(D47=1,"EROARE"," ")</f>
        <v>#DIV/0!</v>
      </c>
      <c r="H47" s="129" t="e">
        <f>IF(E47=1,"EROARE"," ")</f>
        <v>#DIV/0!</v>
      </c>
    </row>
    <row r="48" spans="1:8" ht="19.149999999999999" customHeight="1">
      <c r="A48" s="4318"/>
      <c r="B48" s="521" t="s">
        <v>2511</v>
      </c>
      <c r="C48" s="4282"/>
      <c r="D48" s="4282"/>
      <c r="E48" s="4323"/>
      <c r="F48" s="520"/>
      <c r="G48" s="520"/>
    </row>
    <row r="49" spans="1:8" ht="15" customHeight="1">
      <c r="A49" s="4318"/>
      <c r="B49" s="519" t="s">
        <v>1230</v>
      </c>
      <c r="C49" s="4283"/>
      <c r="D49" s="4292">
        <f>C49</f>
        <v>0</v>
      </c>
      <c r="E49" s="4325"/>
      <c r="F49" s="129" t="str">
        <f>IF(C49=0,"EROARE"," ")</f>
        <v>EROARE</v>
      </c>
      <c r="G49" s="129" t="str">
        <f>IF(D49=0,"EROARE"," ")</f>
        <v>EROARE</v>
      </c>
      <c r="H49" s="129" t="str">
        <f>IF(E49=0,"EROARE"," ")</f>
        <v>EROARE</v>
      </c>
    </row>
    <row r="50" spans="1:8" ht="18" customHeight="1">
      <c r="A50" s="4318"/>
      <c r="B50" s="2257" t="s">
        <v>1296</v>
      </c>
      <c r="C50" s="4283"/>
      <c r="D50" s="4324"/>
      <c r="E50" s="4326"/>
      <c r="F50" s="520"/>
      <c r="G50" s="520"/>
      <c r="H50" s="3042" t="str">
        <f>IF(C49=E49,"EROARE"," ")</f>
        <v>EROARE</v>
      </c>
    </row>
    <row r="51" spans="1:8" ht="38.450000000000003" hidden="1" customHeight="1">
      <c r="A51" s="2818"/>
      <c r="B51" s="2814" t="s">
        <v>1296</v>
      </c>
      <c r="C51" s="2815">
        <v>26032</v>
      </c>
      <c r="D51" s="2816">
        <f>C51</f>
        <v>26032</v>
      </c>
      <c r="E51" s="2817"/>
      <c r="F51" s="129" t="str">
        <f t="shared" ref="F51:H52" si="0">IF(C51=0,"EROARE"," ")</f>
        <v xml:space="preserve"> </v>
      </c>
      <c r="G51" s="129" t="str">
        <f t="shared" si="0"/>
        <v xml:space="preserve"> </v>
      </c>
      <c r="H51" s="129" t="str">
        <f t="shared" si="0"/>
        <v>EROARE</v>
      </c>
    </row>
    <row r="52" spans="1:8" ht="21" customHeight="1" thickBot="1">
      <c r="A52" s="4329" t="s">
        <v>2062</v>
      </c>
      <c r="B52" s="2253" t="s">
        <v>1229</v>
      </c>
      <c r="C52" s="4281" t="e">
        <f>'CONT EXECUTIE  '!C259/'ANEXA 26 (2.1)'!C54</f>
        <v>#DIV/0!</v>
      </c>
      <c r="D52" s="4281" t="e">
        <f>'CONT EXECUTIE  '!D259/'ANEXA 26 (2.1)'!D54</f>
        <v>#DIV/0!</v>
      </c>
      <c r="E52" s="4277" t="e">
        <f>PLATI!C236/'ANEXA 26 (2.1)'!E54</f>
        <v>#DIV/0!</v>
      </c>
      <c r="F52" s="129" t="e">
        <f t="shared" si="0"/>
        <v>#DIV/0!</v>
      </c>
      <c r="G52" s="129" t="e">
        <f>IF(D52=1,"EROARE"," ")</f>
        <v>#DIV/0!</v>
      </c>
      <c r="H52" s="129" t="e">
        <f t="shared" si="0"/>
        <v>#DIV/0!</v>
      </c>
    </row>
    <row r="53" spans="1:8" ht="19.149999999999999" customHeight="1" thickBot="1">
      <c r="A53" s="4330"/>
      <c r="B53" s="1987" t="s">
        <v>1293</v>
      </c>
      <c r="C53" s="4282"/>
      <c r="D53" s="4282"/>
      <c r="E53" s="4278"/>
      <c r="F53" s="520"/>
      <c r="G53" s="520"/>
    </row>
    <row r="54" spans="1:8" ht="21" customHeight="1" thickBot="1">
      <c r="A54" s="4330"/>
      <c r="B54" s="519" t="s">
        <v>1230</v>
      </c>
      <c r="C54" s="4283"/>
      <c r="D54" s="4292">
        <f>C54</f>
        <v>0</v>
      </c>
      <c r="E54" s="4325"/>
      <c r="F54" s="129" t="str">
        <f>IF(C54=0,"EROARE"," ")</f>
        <v>EROARE</v>
      </c>
      <c r="G54" s="129" t="str">
        <f>IF(D54=0,"EROARE"," ")</f>
        <v>EROARE</v>
      </c>
      <c r="H54" s="129" t="str">
        <f>IF(E54=0,"EROARE"," ")</f>
        <v>EROARE</v>
      </c>
    </row>
    <row r="55" spans="1:8" ht="27" customHeight="1">
      <c r="A55" s="4331"/>
      <c r="B55" s="2262" t="s">
        <v>1294</v>
      </c>
      <c r="C55" s="4284"/>
      <c r="D55" s="4293"/>
      <c r="E55" s="4332"/>
      <c r="F55" s="129"/>
      <c r="G55" s="129"/>
      <c r="H55" s="3042" t="str">
        <f>IF(C54=E54,"EROARE"," ")</f>
        <v>EROARE</v>
      </c>
    </row>
    <row r="56" spans="1:8" ht="14.45" customHeight="1" thickBot="1">
      <c r="A56" s="4329" t="s">
        <v>2063</v>
      </c>
      <c r="B56" s="2253" t="s">
        <v>1229</v>
      </c>
      <c r="C56" s="4281" t="e">
        <f>('CONT EXECUTIE  '!C285)/'ANEXA 26 (2.1)'!C60</f>
        <v>#DIV/0!</v>
      </c>
      <c r="D56" s="4281" t="e">
        <f>('CONT EXECUTIE  '!D285)/'ANEXA 26 (2.1)'!D60</f>
        <v>#DIV/0!</v>
      </c>
      <c r="E56" s="4340" t="e">
        <f>(PLATI!C262)/'ANEXA 26 (2.1)'!E60</f>
        <v>#DIV/0!</v>
      </c>
      <c r="F56" s="129" t="e">
        <f>IF(C56=0,"EROARE"," ")</f>
        <v>#DIV/0!</v>
      </c>
      <c r="G56" s="129" t="e">
        <f>IF(D56=1,"EROARE"," ")</f>
        <v>#DIV/0!</v>
      </c>
      <c r="H56" s="129" t="e">
        <f>IF(E56=0,"EROARE"," ")</f>
        <v>#DIV/0!</v>
      </c>
    </row>
    <row r="57" spans="1:8" ht="19.149999999999999" customHeight="1" thickBot="1">
      <c r="A57" s="4330"/>
      <c r="B57" s="522" t="s">
        <v>1287</v>
      </c>
      <c r="C57" s="4282"/>
      <c r="D57" s="4282"/>
      <c r="E57" s="4341"/>
      <c r="F57" s="520"/>
      <c r="G57" s="520"/>
    </row>
    <row r="58" spans="1:8" ht="15.6" customHeight="1" thickBot="1">
      <c r="A58" s="4330"/>
      <c r="B58" s="519" t="s">
        <v>1230</v>
      </c>
      <c r="C58" s="4342"/>
      <c r="D58" s="4292">
        <f>C58</f>
        <v>0</v>
      </c>
      <c r="E58" s="4325"/>
      <c r="F58" s="129" t="str">
        <f>IF(C58=0,"EROARE"," ")</f>
        <v>EROARE</v>
      </c>
      <c r="G58" s="129" t="str">
        <f>IF(D58=0,"EROARE"," ")</f>
        <v>EROARE</v>
      </c>
      <c r="H58" s="129" t="str">
        <f>IF(E58=0,"EROARE"," ")</f>
        <v>EROARE</v>
      </c>
    </row>
    <row r="59" spans="1:8" ht="21" customHeight="1" thickBot="1">
      <c r="A59" s="4330"/>
      <c r="B59" s="2257" t="s">
        <v>1288</v>
      </c>
      <c r="C59" s="4342"/>
      <c r="D59" s="4324"/>
      <c r="E59" s="4326"/>
      <c r="F59" s="129"/>
      <c r="G59" s="129"/>
      <c r="H59" s="129"/>
    </row>
    <row r="60" spans="1:8" ht="36.6" customHeight="1">
      <c r="A60" s="4331"/>
      <c r="B60" s="2258" t="s">
        <v>1289</v>
      </c>
      <c r="C60" s="2259"/>
      <c r="D60" s="2260">
        <f>C60</f>
        <v>0</v>
      </c>
      <c r="E60" s="2261"/>
      <c r="F60" s="129" t="str">
        <f t="shared" ref="F60:H61" si="1">IF(C60=0,"EROARE"," ")</f>
        <v>EROARE</v>
      </c>
      <c r="G60" s="129" t="str">
        <f t="shared" si="1"/>
        <v>EROARE</v>
      </c>
      <c r="H60" s="3042" t="str">
        <f>IF(C60=E60,"EROARE"," ")</f>
        <v>EROARE</v>
      </c>
    </row>
    <row r="61" spans="1:8" ht="18" customHeight="1" thickBot="1">
      <c r="A61" s="4329" t="s">
        <v>2065</v>
      </c>
      <c r="B61" s="2253" t="s">
        <v>1229</v>
      </c>
      <c r="C61" s="4281" t="e">
        <f>'CONT EXECUTIE  '!C291/'ANEXA 26 (2.1)'!C63</f>
        <v>#DIV/0!</v>
      </c>
      <c r="D61" s="4281" t="e">
        <f>'CONT EXECUTIE  '!D291/'ANEXA 26 (2.1)'!D63</f>
        <v>#DIV/0!</v>
      </c>
      <c r="E61" s="4277" t="e">
        <f>PLATI!C268/'ANEXA 26 (2.1)'!E63</f>
        <v>#DIV/0!</v>
      </c>
      <c r="F61" s="129" t="e">
        <f t="shared" si="1"/>
        <v>#DIV/0!</v>
      </c>
      <c r="G61" s="129" t="e">
        <f>IF(D61=1,"EROARE"," ")</f>
        <v>#DIV/0!</v>
      </c>
      <c r="H61" s="129" t="e">
        <f t="shared" si="1"/>
        <v>#DIV/0!</v>
      </c>
    </row>
    <row r="62" spans="1:8" ht="16.899999999999999" customHeight="1" thickBot="1">
      <c r="A62" s="4330"/>
      <c r="B62" s="1987" t="s">
        <v>2512</v>
      </c>
      <c r="C62" s="4282"/>
      <c r="D62" s="4282"/>
      <c r="E62" s="4278"/>
      <c r="F62" s="530"/>
      <c r="G62" s="530"/>
    </row>
    <row r="63" spans="1:8" ht="15.6" customHeight="1" thickBot="1">
      <c r="A63" s="4330"/>
      <c r="B63" s="519" t="s">
        <v>1230</v>
      </c>
      <c r="C63" s="4283"/>
      <c r="D63" s="4292">
        <f>C63</f>
        <v>0</v>
      </c>
      <c r="E63" s="4325"/>
      <c r="F63" s="129" t="str">
        <f>IF(C63=0,"EROARE"," ")</f>
        <v>EROARE</v>
      </c>
      <c r="G63" s="129" t="str">
        <f>IF(D63=0,"EROARE"," ")</f>
        <v>EROARE</v>
      </c>
      <c r="H63" s="129" t="str">
        <f>IF(E63=0,"EROARE"," ")</f>
        <v>EROARE</v>
      </c>
    </row>
    <row r="64" spans="1:8" s="515" customFormat="1" ht="31.5" customHeight="1">
      <c r="A64" s="4331"/>
      <c r="B64" s="2262" t="s">
        <v>2064</v>
      </c>
      <c r="C64" s="4284"/>
      <c r="D64" s="4293"/>
      <c r="E64" s="4332"/>
      <c r="F64" s="531"/>
      <c r="G64" s="520"/>
      <c r="H64" s="3042" t="str">
        <f>IF(C63=E63,"EROARE"," ")</f>
        <v>EROARE</v>
      </c>
    </row>
    <row r="65" spans="1:7" s="515" customFormat="1" ht="15.75">
      <c r="A65" s="96"/>
      <c r="B65" s="96"/>
      <c r="C65" s="96"/>
      <c r="D65" s="96"/>
      <c r="E65" s="532"/>
      <c r="F65" s="109"/>
      <c r="G65" s="531"/>
    </row>
    <row r="66" spans="1:7" s="515" customFormat="1" ht="15.75" customHeight="1">
      <c r="A66" s="533"/>
      <c r="C66" s="1074"/>
      <c r="D66" s="534"/>
      <c r="E66" s="535"/>
      <c r="F66" s="536"/>
      <c r="G66" s="537"/>
    </row>
    <row r="67" spans="1:7" s="515" customFormat="1" ht="15.75" customHeight="1">
      <c r="A67" s="4299" t="str">
        <f>+'ANEXA 1'!B94</f>
        <v>DIRECTOR  GENERAL,</v>
      </c>
      <c r="B67" s="4299"/>
      <c r="C67" s="1989"/>
      <c r="D67" s="4321" t="str">
        <f>+'ANEXA 1'!D94:E94</f>
        <v>DIRECTOR  EXECUTIV  ECONOMIC,</v>
      </c>
      <c r="E67" s="4321"/>
      <c r="F67" s="536"/>
      <c r="G67" s="538"/>
    </row>
    <row r="68" spans="1:7" s="515" customFormat="1">
      <c r="A68" s="533"/>
      <c r="B68" s="536"/>
      <c r="C68" s="536"/>
      <c r="D68" s="534"/>
      <c r="E68" s="535"/>
      <c r="F68" s="536"/>
      <c r="G68" s="538"/>
    </row>
    <row r="69" spans="1:7" s="515" customFormat="1" ht="17.25" customHeight="1">
      <c r="A69" s="4320" t="str">
        <f>+'ANEXA 1'!B96</f>
        <v>EC.ALBU DRINA</v>
      </c>
      <c r="B69" s="4320"/>
      <c r="C69" s="1075"/>
      <c r="D69" s="4328" t="str">
        <f>+'ANEXA 1'!D96:E96</f>
        <v>EC.BIRCU FLORINA</v>
      </c>
      <c r="E69" s="4328"/>
      <c r="F69" s="96"/>
      <c r="G69" s="538"/>
    </row>
    <row r="70" spans="1:7" s="515" customFormat="1" ht="14.25">
      <c r="A70" s="4327">
        <f>'ANEXA 1'!B97</f>
        <v>0</v>
      </c>
      <c r="B70" s="4327"/>
      <c r="C70" s="540"/>
      <c r="D70" s="541"/>
      <c r="E70" s="541"/>
      <c r="F70" s="308"/>
    </row>
    <row r="71" spans="1:7" s="515" customFormat="1" ht="15" customHeight="1">
      <c r="A71" s="539"/>
      <c r="B71" s="96"/>
      <c r="C71" s="1076"/>
      <c r="D71" s="1076"/>
      <c r="E71" s="1076"/>
      <c r="F71" s="308"/>
      <c r="G71" s="520"/>
    </row>
    <row r="72" spans="1:7" s="515" customFormat="1">
      <c r="A72" s="539"/>
      <c r="B72" s="507"/>
      <c r="C72" s="109"/>
      <c r="D72" s="308"/>
      <c r="E72" s="542"/>
      <c r="F72" s="96"/>
      <c r="G72" s="520"/>
    </row>
    <row r="73" spans="1:7" s="515" customFormat="1">
      <c r="A73" s="539"/>
      <c r="B73" s="96"/>
      <c r="C73" s="96"/>
      <c r="D73" s="308"/>
      <c r="E73" s="308"/>
      <c r="F73" s="308"/>
    </row>
    <row r="74" spans="1:7" s="515" customFormat="1" ht="15">
      <c r="A74" s="4350">
        <f>+'ANEXA 1'!B99</f>
        <v>0</v>
      </c>
      <c r="B74" s="4350"/>
      <c r="C74" s="96"/>
      <c r="D74" s="4349">
        <f>'ANEXA 1'!D99</f>
        <v>0</v>
      </c>
      <c r="E74" s="4349"/>
      <c r="F74" s="308"/>
      <c r="G74" s="530"/>
    </row>
    <row r="75" spans="1:7" s="515" customFormat="1" ht="12.75" customHeight="1">
      <c r="A75" s="1622"/>
      <c r="B75" s="1623"/>
      <c r="C75" s="109"/>
      <c r="D75" s="1617"/>
      <c r="E75" s="1617"/>
      <c r="F75" s="308"/>
      <c r="G75" s="530"/>
    </row>
    <row r="76" spans="1:7" s="515" customFormat="1" ht="15">
      <c r="A76" s="4351">
        <f>+'ANEXA 1'!B101</f>
        <v>0</v>
      </c>
      <c r="B76" s="4351"/>
      <c r="C76" s="96"/>
      <c r="D76" s="3976">
        <f>'ANEXA 1'!D101</f>
        <v>0</v>
      </c>
      <c r="E76" s="3976"/>
      <c r="F76" s="308"/>
      <c r="G76" s="530"/>
    </row>
    <row r="77" spans="1:7" s="515" customFormat="1" ht="12.75" customHeight="1">
      <c r="A77" s="539"/>
      <c r="B77" s="96"/>
      <c r="C77" s="96"/>
      <c r="D77" s="4319"/>
      <c r="E77" s="4319"/>
      <c r="F77" s="308"/>
      <c r="G77" s="530"/>
    </row>
    <row r="91" ht="15.75" customHeight="1"/>
  </sheetData>
  <sheetProtection password="CFDD" sheet="1" objects="1" scenarios="1"/>
  <mergeCells count="105">
    <mergeCell ref="D74:E74"/>
    <mergeCell ref="D76:E76"/>
    <mergeCell ref="C54:C55"/>
    <mergeCell ref="D54:D55"/>
    <mergeCell ref="E54:E55"/>
    <mergeCell ref="A56:A60"/>
    <mergeCell ref="C56:C57"/>
    <mergeCell ref="D56:D57"/>
    <mergeCell ref="E56:E57"/>
    <mergeCell ref="C58:C59"/>
    <mergeCell ref="D58:D59"/>
    <mergeCell ref="E58:E59"/>
    <mergeCell ref="A74:B74"/>
    <mergeCell ref="A76:B76"/>
    <mergeCell ref="A3:E3"/>
    <mergeCell ref="A4:E4"/>
    <mergeCell ref="A5:E5"/>
    <mergeCell ref="A6:E6"/>
    <mergeCell ref="A9:A13"/>
    <mergeCell ref="C9:C11"/>
    <mergeCell ref="D9:D11"/>
    <mergeCell ref="E9:E11"/>
    <mergeCell ref="B10:B11"/>
    <mergeCell ref="C12:C13"/>
    <mergeCell ref="D12:D13"/>
    <mergeCell ref="E12:E13"/>
    <mergeCell ref="A14:A17"/>
    <mergeCell ref="C14:C15"/>
    <mergeCell ref="D14:D15"/>
    <mergeCell ref="E14:E15"/>
    <mergeCell ref="C16:C17"/>
    <mergeCell ref="D16:D17"/>
    <mergeCell ref="E16:E17"/>
    <mergeCell ref="A18:A21"/>
    <mergeCell ref="C18:C19"/>
    <mergeCell ref="D18:D19"/>
    <mergeCell ref="E18:E19"/>
    <mergeCell ref="C20:C21"/>
    <mergeCell ref="D20:D21"/>
    <mergeCell ref="E20:E21"/>
    <mergeCell ref="A22:A25"/>
    <mergeCell ref="C22:C23"/>
    <mergeCell ref="D22:D23"/>
    <mergeCell ref="E22:E23"/>
    <mergeCell ref="C24:C25"/>
    <mergeCell ref="D24:D25"/>
    <mergeCell ref="E24:E25"/>
    <mergeCell ref="A26:A29"/>
    <mergeCell ref="C26:C27"/>
    <mergeCell ref="D26:D27"/>
    <mergeCell ref="E26:E27"/>
    <mergeCell ref="C28:C29"/>
    <mergeCell ref="D28:D29"/>
    <mergeCell ref="E28:E29"/>
    <mergeCell ref="C30:C31"/>
    <mergeCell ref="D30:D31"/>
    <mergeCell ref="E30:E31"/>
    <mergeCell ref="C32:C33"/>
    <mergeCell ref="D32:D33"/>
    <mergeCell ref="E32:E33"/>
    <mergeCell ref="A34:A38"/>
    <mergeCell ref="C34:C35"/>
    <mergeCell ref="D34:D35"/>
    <mergeCell ref="E34:E35"/>
    <mergeCell ref="C36:C37"/>
    <mergeCell ref="D36:D37"/>
    <mergeCell ref="E36:E37"/>
    <mergeCell ref="A39:A42"/>
    <mergeCell ref="C39:C40"/>
    <mergeCell ref="D39:D40"/>
    <mergeCell ref="E39:E40"/>
    <mergeCell ref="C41:C42"/>
    <mergeCell ref="D41:D42"/>
    <mergeCell ref="E41:E42"/>
    <mergeCell ref="A43:A46"/>
    <mergeCell ref="C43:C44"/>
    <mergeCell ref="D43:D44"/>
    <mergeCell ref="E43:E44"/>
    <mergeCell ref="C45:C46"/>
    <mergeCell ref="D45:D46"/>
    <mergeCell ref="E45:E46"/>
    <mergeCell ref="A47:A50"/>
    <mergeCell ref="D77:E77"/>
    <mergeCell ref="A67:B67"/>
    <mergeCell ref="A69:B69"/>
    <mergeCell ref="D67:E67"/>
    <mergeCell ref="C47:C48"/>
    <mergeCell ref="D47:D48"/>
    <mergeCell ref="E47:E48"/>
    <mergeCell ref="C49:C50"/>
    <mergeCell ref="D49:D50"/>
    <mergeCell ref="E49:E50"/>
    <mergeCell ref="A70:B70"/>
    <mergeCell ref="D69:E69"/>
    <mergeCell ref="A52:A55"/>
    <mergeCell ref="C52:C53"/>
    <mergeCell ref="D52:D53"/>
    <mergeCell ref="A61:A64"/>
    <mergeCell ref="C61:C62"/>
    <mergeCell ref="D61:D62"/>
    <mergeCell ref="E61:E62"/>
    <mergeCell ref="C63:C64"/>
    <mergeCell ref="D63:D64"/>
    <mergeCell ref="E63:E64"/>
    <mergeCell ref="E52:E53"/>
  </mergeCells>
  <phoneticPr fontId="0" type="noConversion"/>
  <pageMargins left="0.98425196850393704" right="0.23622047244094491" top="0.27559055118110237" bottom="0.15748031496062992" header="0.51181102362204722" footer="0.15748031496062992"/>
  <pageSetup scale="77" firstPageNumber="0" orientation="portrait" horizontalDpi="300" verticalDpi="300" r:id="rId1"/>
  <headerFooter alignWithMargins="0">
    <oddFooter>&amp;C&amp;A</oddFooter>
  </headerFooter>
  <rowBreaks count="1" manualBreakCount="1">
    <brk id="55" max="4" man="1"/>
  </rowBreaks>
  <colBreaks count="1" manualBreakCount="1">
    <brk id="5" max="1048575" man="1"/>
  </col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3">
    <tabColor rgb="FFF2DCDB"/>
  </sheetPr>
  <dimension ref="A1:K39"/>
  <sheetViews>
    <sheetView showZeros="0" workbookViewId="0">
      <selection activeCell="F43" sqref="F43"/>
    </sheetView>
  </sheetViews>
  <sheetFormatPr defaultColWidth="9.140625" defaultRowHeight="12.75"/>
  <cols>
    <col min="1" max="1" width="11.5703125" style="96" customWidth="1"/>
    <col min="2" max="2" width="29.42578125" style="96" customWidth="1"/>
    <col min="3" max="3" width="15" style="96" customWidth="1"/>
    <col min="4" max="4" width="17.140625" style="96" customWidth="1"/>
    <col min="5" max="5" width="13.5703125" style="532" customWidth="1"/>
    <col min="6" max="6" width="15.85546875" style="96" customWidth="1"/>
    <col min="7" max="7" width="12.7109375" style="96" customWidth="1"/>
    <col min="8" max="8" width="13.85546875" style="96" customWidth="1"/>
    <col min="9" max="9" width="11.140625" style="96" customWidth="1"/>
    <col min="10" max="16384" width="9.140625" style="96"/>
  </cols>
  <sheetData>
    <row r="1" spans="1:11" ht="15.75">
      <c r="A1" s="543" t="str">
        <f>'ANEXA 1'!A1:E1</f>
        <v>CASA  DE  ASIGURĂRI  DE  SĂNĂTATE MEHEDINTI</v>
      </c>
    </row>
    <row r="4" spans="1:11" ht="15">
      <c r="A4" s="544"/>
      <c r="B4" s="544"/>
      <c r="C4" s="544"/>
      <c r="D4" s="544"/>
    </row>
    <row r="5" spans="1:11" ht="31.15" customHeight="1">
      <c r="A5" s="92"/>
      <c r="B5" s="4301" t="s">
        <v>1243</v>
      </c>
      <c r="C5" s="4301"/>
      <c r="D5" s="4301"/>
      <c r="E5" s="4301"/>
      <c r="F5" s="4301"/>
    </row>
    <row r="6" spans="1:11" ht="31.15" customHeight="1">
      <c r="A6" s="92"/>
      <c r="B6" s="1968"/>
      <c r="C6" s="1968"/>
      <c r="D6" s="1968"/>
      <c r="E6" s="1968"/>
      <c r="F6" s="1968"/>
    </row>
    <row r="7" spans="1:11">
      <c r="A7" s="545"/>
      <c r="B7" s="92" t="s">
        <v>1242</v>
      </c>
      <c r="C7" s="92"/>
      <c r="D7" s="92"/>
      <c r="E7" s="95"/>
      <c r="F7" s="486" t="s">
        <v>1031</v>
      </c>
    </row>
    <row r="8" spans="1:11" ht="12.75" customHeight="1" thickBot="1">
      <c r="A8" s="4360" t="s">
        <v>1232</v>
      </c>
      <c r="B8" s="4361" t="s">
        <v>1233</v>
      </c>
      <c r="C8" s="4361" t="s">
        <v>808</v>
      </c>
      <c r="D8" s="2244" t="s">
        <v>1234</v>
      </c>
      <c r="E8" s="2292" t="str">
        <f>D8</f>
        <v>Credite</v>
      </c>
      <c r="F8" s="4361" t="s">
        <v>813</v>
      </c>
    </row>
    <row r="9" spans="1:11" ht="13.5" thickBot="1">
      <c r="A9" s="4360"/>
      <c r="B9" s="4362"/>
      <c r="C9" s="4362"/>
      <c r="D9" s="2245" t="s">
        <v>1236</v>
      </c>
      <c r="E9" s="2293" t="str">
        <f>D9</f>
        <v>bugetare</v>
      </c>
      <c r="F9" s="4362"/>
    </row>
    <row r="10" spans="1:11">
      <c r="A10" s="4360"/>
      <c r="B10" s="4363"/>
      <c r="C10" s="4363"/>
      <c r="D10" s="2246" t="s">
        <v>1237</v>
      </c>
      <c r="E10" s="2294" t="s">
        <v>1238</v>
      </c>
      <c r="F10" s="4363"/>
      <c r="H10" s="4352"/>
      <c r="I10" s="4352"/>
      <c r="J10" s="4352"/>
      <c r="K10" s="4352"/>
    </row>
    <row r="11" spans="1:11" ht="24" customHeight="1">
      <c r="A11" s="4353" t="s">
        <v>231</v>
      </c>
      <c r="B11" s="2295" t="s">
        <v>1239</v>
      </c>
      <c r="C11" s="4273">
        <v>5005</v>
      </c>
      <c r="D11" s="2268"/>
      <c r="E11" s="2296"/>
      <c r="F11" s="2269"/>
      <c r="I11" s="1124"/>
    </row>
    <row r="12" spans="1:11" ht="24" customHeight="1">
      <c r="A12" s="4353"/>
      <c r="B12" s="2297" t="s">
        <v>809</v>
      </c>
      <c r="C12" s="4274"/>
      <c r="D12" s="2279">
        <f>'CONT EXECUTIE  '!C139+'CONT EXECUTIE  '!C142+'CONT EXECUTIE  '!C143+'CONT EXECUTIE  '!C223+'CONT EXECUTIE  '!C227+'CONT EXECUTIE  '!C235+'CONT EXECUTIE  '!C241+'CONT EXECUTIE  '!C246+'CONT EXECUTIE  '!C257+'CONT EXECUTIE  '!C259+'CONT EXECUTIE  '!C264+'CONT EXECUTIE  '!C269+'CONT EXECUTIE  '!C270+'CONT EXECUTIE  '!C285+'CONT EXECUTIE  '!C290+'CONT EXECUTIE  '!C291</f>
        <v>246530540</v>
      </c>
      <c r="E12" s="2279">
        <f>'CONT EXECUTIE  '!D139+'CONT EXECUTIE  '!D142+'CONT EXECUTIE  '!D143+'CONT EXECUTIE  '!D223+'CONT EXECUTIE  '!D227+'CONT EXECUTIE  '!D235+'CONT EXECUTIE  '!D241+'CONT EXECUTIE  '!D246+'CONT EXECUTIE  '!D257+'CONT EXECUTIE  '!D259+'CONT EXECUTIE  '!D264+'CONT EXECUTIE  '!D269+'CONT EXECUTIE  '!D270+'CONT EXECUTIE  '!D285+'CONT EXECUTIE  '!D290+'CONT EXECUTIE  '!D291</f>
        <v>153227520</v>
      </c>
      <c r="F12" s="2298"/>
      <c r="G12" s="509"/>
      <c r="H12" s="509"/>
    </row>
    <row r="13" spans="1:11" ht="24" customHeight="1">
      <c r="A13" s="4353"/>
      <c r="B13" s="2299" t="s">
        <v>810</v>
      </c>
      <c r="C13" s="4275"/>
      <c r="D13" s="2281">
        <f>'CONT EXECUTIE  '!E139+'CONT EXECUTIE  '!E142+'CONT EXECUTIE  '!E143+'CONT EXECUTIE  '!E223+'CONT EXECUTIE  '!E227+'CONT EXECUTIE  '!E235+'CONT EXECUTIE  '!E241+'CONT EXECUTIE  '!E246+'CONT EXECUTIE  '!E257+'CONT EXECUTIE  '!E259+'CONT EXECUTIE  '!E264+'CONT EXECUTIE  '!E269+'CONT EXECUTIE  '!E270+'CONT EXECUTIE  '!E285+'CONT EXECUTIE  '!E290+'CONT EXECUTIE  '!E291</f>
        <v>216247500</v>
      </c>
      <c r="E13" s="2281">
        <f>'CONT EXECUTIE  '!F139+'CONT EXECUTIE  '!F142+'CONT EXECUTIE  '!F143+'CONT EXECUTIE  '!F223+'CONT EXECUTIE  '!F227+'CONT EXECUTIE  '!F235+'CONT EXECUTIE  '!F241+'CONT EXECUTIE  '!F246+'CONT EXECUTIE  '!F257+'CONT EXECUTIE  '!F259+'CONT EXECUTIE  '!F264+'CONT EXECUTIE  '!F269+'CONT EXECUTIE  '!F270+'CONT EXECUTIE  '!F285+'CONT EXECUTIE  '!F290+'CONT EXECUTIE  '!F291</f>
        <v>118745770</v>
      </c>
      <c r="F13" s="2300">
        <f>PLATI!C116+PLATI!C119+PLATI!C120+PLATI!C200+PLATI!C204+PLATI!C212+PLATI!C218+PLATI!C223+PLATI!C234+PLATI!C236+PLATI!C241+PLATI!C246+PLATI!C247+PLATI!C262+PLATI!C267+PLATI!C268</f>
        <v>118520001</v>
      </c>
    </row>
    <row r="14" spans="1:11" ht="24" customHeight="1">
      <c r="A14" s="4353"/>
      <c r="B14" s="2301" t="s">
        <v>820</v>
      </c>
      <c r="C14" s="4273">
        <v>6605</v>
      </c>
      <c r="D14" s="1993"/>
      <c r="E14" s="1993"/>
      <c r="F14" s="2269"/>
    </row>
    <row r="15" spans="1:11" ht="24" customHeight="1">
      <c r="A15" s="4353"/>
      <c r="B15" s="2297" t="s">
        <v>809</v>
      </c>
      <c r="C15" s="4274"/>
      <c r="D15" s="2302">
        <f>+D12</f>
        <v>246530540</v>
      </c>
      <c r="E15" s="2302">
        <f>+E12</f>
        <v>153227520</v>
      </c>
      <c r="F15" s="2298"/>
    </row>
    <row r="16" spans="1:11" ht="24" customHeight="1">
      <c r="A16" s="4353"/>
      <c r="B16" s="2299" t="s">
        <v>810</v>
      </c>
      <c r="C16" s="4275"/>
      <c r="D16" s="2303">
        <f>+D13</f>
        <v>216247500</v>
      </c>
      <c r="E16" s="2303">
        <f>+E13</f>
        <v>118745770</v>
      </c>
      <c r="F16" s="2300">
        <f>+F13</f>
        <v>118520001</v>
      </c>
    </row>
    <row r="17" spans="1:6" ht="24" customHeight="1">
      <c r="A17" s="4353"/>
      <c r="B17" s="2301" t="s">
        <v>1240</v>
      </c>
      <c r="C17" s="4355" t="s">
        <v>1033</v>
      </c>
      <c r="D17" s="1990"/>
      <c r="E17" s="1990"/>
      <c r="F17" s="2304"/>
    </row>
    <row r="18" spans="1:6" ht="24" customHeight="1">
      <c r="A18" s="4353"/>
      <c r="B18" s="2297" t="s">
        <v>809</v>
      </c>
      <c r="C18" s="4356"/>
      <c r="D18" s="2305">
        <f>+D15</f>
        <v>246530540</v>
      </c>
      <c r="E18" s="2305">
        <f>+E15</f>
        <v>153227520</v>
      </c>
      <c r="F18" s="2298"/>
    </row>
    <row r="19" spans="1:6" ht="24" customHeight="1">
      <c r="A19" s="4353"/>
      <c r="B19" s="2299" t="s">
        <v>810</v>
      </c>
      <c r="C19" s="4357"/>
      <c r="D19" s="2303">
        <f>+D16</f>
        <v>216247500</v>
      </c>
      <c r="E19" s="2303">
        <f>+E16</f>
        <v>118745770</v>
      </c>
      <c r="F19" s="2300">
        <f>+F16</f>
        <v>118520001</v>
      </c>
    </row>
    <row r="20" spans="1:6" ht="14.25" customHeight="1">
      <c r="A20" s="546"/>
      <c r="B20" s="542"/>
      <c r="D20" s="308"/>
      <c r="E20" s="308"/>
      <c r="F20" s="308"/>
    </row>
    <row r="21" spans="1:6" ht="14.25" customHeight="1">
      <c r="A21" s="546"/>
      <c r="D21" s="308"/>
      <c r="E21" s="308"/>
      <c r="F21" s="308"/>
    </row>
    <row r="22" spans="1:6" ht="14.25" customHeight="1">
      <c r="C22" s="1069"/>
    </row>
    <row r="23" spans="1:6" ht="14.25" customHeight="1">
      <c r="A23" s="546"/>
      <c r="D23" s="308"/>
      <c r="E23" s="308"/>
      <c r="F23" s="308"/>
    </row>
    <row r="24" spans="1:6" ht="14.25" customHeight="1">
      <c r="C24" s="1068"/>
      <c r="D24" s="1068"/>
      <c r="E24" s="308"/>
      <c r="F24" s="308"/>
    </row>
    <row r="25" spans="1:6" ht="14.25" customHeight="1">
      <c r="A25" s="4354" t="str">
        <f>+'ANEXA 1'!B94</f>
        <v>DIRECTOR  GENERAL,</v>
      </c>
      <c r="B25" s="4354"/>
      <c r="C25" s="1624"/>
      <c r="D25" s="4328" t="str">
        <f>+'ANEXA 1'!D94:E94</f>
        <v>DIRECTOR  EXECUTIV  ECONOMIC,</v>
      </c>
      <c r="E25" s="4328"/>
      <c r="F25" s="4328"/>
    </row>
    <row r="26" spans="1:6" ht="14.25" customHeight="1">
      <c r="A26" s="546"/>
      <c r="D26" s="308"/>
      <c r="E26" s="308"/>
      <c r="F26" s="308"/>
    </row>
    <row r="27" spans="1:6" ht="14.25" customHeight="1">
      <c r="A27" s="4276" t="str">
        <f>+'ANEXA 1'!B96</f>
        <v>EC.ALBU DRINA</v>
      </c>
      <c r="B27" s="4276"/>
      <c r="D27" s="4359" t="str">
        <f>+'ANEXA 1'!D96:E96</f>
        <v>EC.BIRCU FLORINA</v>
      </c>
      <c r="E27" s="4359"/>
      <c r="F27" s="4359"/>
    </row>
    <row r="28" spans="1:6" ht="14.25" customHeight="1">
      <c r="A28" s="546"/>
      <c r="D28" s="547"/>
      <c r="E28" s="547"/>
      <c r="F28" s="547"/>
    </row>
    <row r="29" spans="1:6" ht="14.25" customHeight="1">
      <c r="A29" s="546"/>
    </row>
    <row r="30" spans="1:6" ht="14.25" customHeight="1">
      <c r="A30" s="546"/>
      <c r="D30" s="308"/>
      <c r="E30" s="308"/>
      <c r="F30" s="308"/>
    </row>
    <row r="31" spans="1:6" ht="15">
      <c r="A31" s="4197">
        <f>+'ANEXA 1'!B99</f>
        <v>0</v>
      </c>
      <c r="B31" s="4197"/>
      <c r="D31" s="4349">
        <f>'ANEXA 1'!D99:E99</f>
        <v>0</v>
      </c>
      <c r="E31" s="4349"/>
      <c r="F31" s="4349"/>
    </row>
    <row r="32" spans="1:6" ht="14.25" customHeight="1">
      <c r="A32" s="1625"/>
      <c r="B32" s="1626"/>
      <c r="C32" s="542"/>
      <c r="D32" s="1617"/>
      <c r="E32" s="1617"/>
      <c r="F32" s="1617"/>
    </row>
    <row r="33" spans="1:6" ht="14.25" customHeight="1">
      <c r="A33" s="4314">
        <f>+'ANEXA 1'!B101</f>
        <v>0</v>
      </c>
      <c r="B33" s="4314"/>
      <c r="C33" s="542"/>
      <c r="D33" s="4358">
        <f>'ANEXA 1'!D101:E101</f>
        <v>0</v>
      </c>
      <c r="E33" s="4358"/>
      <c r="F33" s="4358"/>
    </row>
    <row r="34" spans="1:6" ht="14.25" customHeight="1">
      <c r="A34" s="546"/>
      <c r="B34" s="542"/>
      <c r="C34" s="542"/>
    </row>
    <row r="35" spans="1:6" ht="14.25" customHeight="1">
      <c r="A35" s="546"/>
      <c r="C35" s="542"/>
    </row>
    <row r="36" spans="1:6" ht="14.25" customHeight="1">
      <c r="A36" s="546"/>
      <c r="B36" s="542"/>
      <c r="C36" s="542"/>
    </row>
    <row r="37" spans="1:6" ht="14.25" customHeight="1">
      <c r="A37" s="546"/>
      <c r="C37" s="542"/>
      <c r="D37" s="318"/>
      <c r="E37" s="308"/>
      <c r="F37" s="308"/>
    </row>
    <row r="38" spans="1:6" ht="14.25" customHeight="1">
      <c r="A38" s="546"/>
      <c r="B38" s="542"/>
      <c r="C38" s="542"/>
    </row>
    <row r="39" spans="1:6" ht="9" customHeight="1">
      <c r="A39" s="546"/>
      <c r="B39" s="542"/>
      <c r="C39" s="542"/>
      <c r="D39" s="308"/>
      <c r="E39" s="308"/>
      <c r="F39" s="308"/>
    </row>
  </sheetData>
  <mergeCells count="18">
    <mergeCell ref="D31:F31"/>
    <mergeCell ref="D33:F33"/>
    <mergeCell ref="D27:F27"/>
    <mergeCell ref="B5:F5"/>
    <mergeCell ref="A8:A10"/>
    <mergeCell ref="B8:B10"/>
    <mergeCell ref="C8:C10"/>
    <mergeCell ref="F8:F10"/>
    <mergeCell ref="A31:B31"/>
    <mergeCell ref="A33:B33"/>
    <mergeCell ref="H10:K10"/>
    <mergeCell ref="A11:A19"/>
    <mergeCell ref="D25:F25"/>
    <mergeCell ref="A25:B25"/>
    <mergeCell ref="A27:B27"/>
    <mergeCell ref="C11:C13"/>
    <mergeCell ref="C14:C16"/>
    <mergeCell ref="C17:C19"/>
  </mergeCells>
  <phoneticPr fontId="0" type="noConversion"/>
  <pageMargins left="0.98425196850393704" right="0.23622047244094491" top="0.27559055118110237" bottom="0.15748031496062992" header="0.51181102362204722" footer="0.15748031496062992"/>
  <pageSetup scale="90" firstPageNumber="0" orientation="portrait"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3">
    <tabColor theme="2" tint="-0.499984740745262"/>
  </sheetPr>
  <dimension ref="A1:H91"/>
  <sheetViews>
    <sheetView showZeros="0" workbookViewId="0">
      <selection activeCell="F18" sqref="F18"/>
    </sheetView>
  </sheetViews>
  <sheetFormatPr defaultColWidth="9.140625" defaultRowHeight="18.75"/>
  <cols>
    <col min="1" max="1" width="23.5703125" style="1379" customWidth="1"/>
    <col min="2" max="2" width="23.28515625" style="1379" customWidth="1"/>
    <col min="3" max="6" width="21.140625" style="1379" customWidth="1"/>
    <col min="7" max="7" width="11" style="1791" customWidth="1"/>
    <col min="8" max="8" width="10.28515625" style="1379" bestFit="1" customWidth="1"/>
    <col min="9" max="16384" width="9.140625" style="1379"/>
  </cols>
  <sheetData>
    <row r="1" spans="1:8">
      <c r="A1" s="4365" t="str">
        <f>+'ANEXA 1'!A1:E1</f>
        <v>CASA  DE  ASIGURĂRI  DE  SĂNĂTATE MEHEDINTI</v>
      </c>
      <c r="B1" s="4365"/>
      <c r="C1" s="4365"/>
      <c r="D1" s="4365"/>
      <c r="E1" s="4365"/>
      <c r="F1" s="92"/>
    </row>
    <row r="2" spans="1:8">
      <c r="A2" s="92"/>
      <c r="B2" s="92"/>
      <c r="C2" s="92"/>
      <c r="D2" s="92"/>
      <c r="E2" s="307" t="s">
        <v>1225</v>
      </c>
      <c r="F2" s="307"/>
    </row>
    <row r="3" spans="1:8">
      <c r="A3" s="92"/>
      <c r="B3" s="92"/>
      <c r="C3" s="92"/>
      <c r="D3" s="92"/>
      <c r="E3" s="92"/>
      <c r="F3" s="92"/>
    </row>
    <row r="4" spans="1:8">
      <c r="A4" s="92"/>
      <c r="B4" s="92"/>
      <c r="C4" s="92"/>
      <c r="D4" s="92"/>
      <c r="E4" s="92"/>
      <c r="F4" s="92"/>
    </row>
    <row r="5" spans="1:8">
      <c r="A5" s="92"/>
      <c r="B5" s="92"/>
      <c r="C5" s="92"/>
      <c r="D5" s="92"/>
      <c r="E5" s="92"/>
      <c r="F5" s="92"/>
    </row>
    <row r="6" spans="1:8">
      <c r="A6" s="4276" t="s">
        <v>1226</v>
      </c>
      <c r="B6" s="4276"/>
      <c r="C6" s="4276"/>
      <c r="D6" s="4276"/>
      <c r="E6" s="4276"/>
      <c r="F6" s="4276"/>
    </row>
    <row r="7" spans="1:8">
      <c r="A7" s="4276" t="s">
        <v>1810</v>
      </c>
      <c r="B7" s="4276"/>
      <c r="C7" s="4276"/>
      <c r="D7" s="4276"/>
      <c r="E7" s="4276"/>
      <c r="F7" s="4276"/>
    </row>
    <row r="8" spans="1:8">
      <c r="A8" s="4311" t="s">
        <v>1811</v>
      </c>
      <c r="B8" s="4311"/>
      <c r="C8" s="4311"/>
      <c r="D8" s="4311"/>
      <c r="E8" s="4311"/>
      <c r="F8" s="4311"/>
    </row>
    <row r="9" spans="1:8">
      <c r="A9" s="92"/>
      <c r="B9" s="484"/>
      <c r="C9" s="484"/>
      <c r="D9" s="484"/>
      <c r="E9" s="484"/>
      <c r="F9" s="484"/>
    </row>
    <row r="10" spans="1:8">
      <c r="A10" s="92"/>
      <c r="B10" s="484" t="s">
        <v>1812</v>
      </c>
      <c r="C10" s="484"/>
      <c r="D10" s="484"/>
      <c r="E10" s="484"/>
      <c r="F10" s="484"/>
    </row>
    <row r="11" spans="1:8">
      <c r="A11" s="92"/>
      <c r="B11" s="484"/>
      <c r="C11" s="484"/>
      <c r="D11" s="484"/>
      <c r="E11" s="703" t="s">
        <v>271</v>
      </c>
      <c r="F11" s="484"/>
      <c r="G11" s="1792"/>
    </row>
    <row r="12" spans="1:8" ht="25.5">
      <c r="A12" s="2312"/>
      <c r="B12" s="2313" t="s">
        <v>1228</v>
      </c>
      <c r="C12" s="2314" t="s">
        <v>2390</v>
      </c>
      <c r="D12" s="2314" t="s">
        <v>2391</v>
      </c>
      <c r="E12" s="2314" t="s">
        <v>2392</v>
      </c>
      <c r="F12" s="484"/>
      <c r="G12" s="1793"/>
    </row>
    <row r="13" spans="1:8" ht="19.5" thickBot="1">
      <c r="A13" s="4366" t="s">
        <v>2084</v>
      </c>
      <c r="B13" s="2306" t="s">
        <v>1229</v>
      </c>
      <c r="C13" s="4369" t="e">
        <f>'CONT EXECUTIE  '!C144/'26,3,1'!C15</f>
        <v>#DIV/0!</v>
      </c>
      <c r="D13" s="4369" t="e">
        <f>'CONT EXECUTIE  '!D144/'26,3,1'!D15</f>
        <v>#DIV/0!</v>
      </c>
      <c r="E13" s="4369" t="e">
        <f>PLATI!C121/'26,3,1'!E15</f>
        <v>#DIV/0!</v>
      </c>
      <c r="F13" s="484"/>
      <c r="G13" s="1794"/>
      <c r="H13" s="1992" t="e">
        <f>IF(E13=1,"EROARE"," ")</f>
        <v>#DIV/0!</v>
      </c>
    </row>
    <row r="14" spans="1:8" ht="15.75" customHeight="1">
      <c r="A14" s="4367"/>
      <c r="B14" s="2307" t="s">
        <v>1813</v>
      </c>
      <c r="C14" s="4370"/>
      <c r="D14" s="4370"/>
      <c r="E14" s="4370"/>
      <c r="F14" s="484"/>
      <c r="G14" s="1794"/>
    </row>
    <row r="15" spans="1:8" ht="16.149999999999999" customHeight="1" thickBot="1">
      <c r="A15" s="4367"/>
      <c r="B15" s="2315" t="s">
        <v>1230</v>
      </c>
      <c r="C15" s="4371"/>
      <c r="D15" s="4373">
        <f>C15</f>
        <v>0</v>
      </c>
      <c r="E15" s="4371"/>
      <c r="F15" s="484"/>
      <c r="G15" s="4377"/>
      <c r="H15" s="4364" t="b">
        <f>IF(D15&lt;&gt;0,E15&lt;&gt;0,E15=0)</f>
        <v>1</v>
      </c>
    </row>
    <row r="16" spans="1:8" ht="25.15" customHeight="1">
      <c r="A16" s="4368"/>
      <c r="B16" s="1380" t="s">
        <v>1814</v>
      </c>
      <c r="C16" s="4372"/>
      <c r="D16" s="4374"/>
      <c r="E16" s="4372"/>
      <c r="F16" s="484"/>
      <c r="G16" s="4377"/>
      <c r="H16" s="4364"/>
    </row>
    <row r="17" spans="1:8" ht="16.5" customHeight="1" thickBot="1">
      <c r="A17" s="4366" t="s">
        <v>2085</v>
      </c>
      <c r="B17" s="2308" t="s">
        <v>1229</v>
      </c>
      <c r="C17" s="4369" t="e">
        <f>'CONT EXECUTIE  '!C147/'26,3,1'!C19</f>
        <v>#DIV/0!</v>
      </c>
      <c r="D17" s="4369" t="e">
        <f>'CONT EXECUTIE  '!D147/'26,3,1'!D19</f>
        <v>#DIV/0!</v>
      </c>
      <c r="E17" s="4369" t="e">
        <f>PLATI!C124/'26,3,1'!E19</f>
        <v>#DIV/0!</v>
      </c>
      <c r="F17" s="484"/>
      <c r="G17" s="1794"/>
      <c r="H17" s="1992" t="e">
        <f>IF(E17=1,"EROARE"," ")</f>
        <v>#DIV/0!</v>
      </c>
    </row>
    <row r="18" spans="1:8" ht="16.5" customHeight="1">
      <c r="A18" s="4367"/>
      <c r="B18" s="2309" t="s">
        <v>1813</v>
      </c>
      <c r="C18" s="4370"/>
      <c r="D18" s="4370"/>
      <c r="E18" s="4370"/>
      <c r="F18" s="484"/>
      <c r="G18" s="1794"/>
    </row>
    <row r="19" spans="1:8" ht="19.5" thickBot="1">
      <c r="A19" s="4367"/>
      <c r="B19" s="2310" t="s">
        <v>1230</v>
      </c>
      <c r="C19" s="4371"/>
      <c r="D19" s="4373">
        <f>C19</f>
        <v>0</v>
      </c>
      <c r="E19" s="4371"/>
      <c r="F19" s="484"/>
      <c r="G19" s="1794"/>
      <c r="H19" s="4364" t="b">
        <f>IF(D19&lt;&gt;0,E19&lt;&gt;0,E19=0)</f>
        <v>1</v>
      </c>
    </row>
    <row r="20" spans="1:8" ht="37.5" customHeight="1">
      <c r="A20" s="4368"/>
      <c r="B20" s="2311" t="s">
        <v>1814</v>
      </c>
      <c r="C20" s="4372"/>
      <c r="D20" s="4374"/>
      <c r="E20" s="4372"/>
      <c r="F20" s="484"/>
      <c r="G20" s="1794"/>
      <c r="H20" s="4364"/>
    </row>
    <row r="21" spans="1:8" ht="16.5" customHeight="1" thickBot="1">
      <c r="A21" s="4366" t="s">
        <v>2086</v>
      </c>
      <c r="B21" s="2308" t="s">
        <v>1229</v>
      </c>
      <c r="C21" s="4369" t="e">
        <f>'CONT EXECUTIE  '!C180/'26,3,1'!C23</f>
        <v>#DIV/0!</v>
      </c>
      <c r="D21" s="4369" t="e">
        <f>'CONT EXECUTIE  '!D180/'26,3,1'!D23</f>
        <v>#DIV/0!</v>
      </c>
      <c r="E21" s="4369" t="e">
        <f>PLATI!C157/'26,3,1'!E23</f>
        <v>#DIV/0!</v>
      </c>
      <c r="F21" s="484"/>
      <c r="G21" s="1794"/>
      <c r="H21" s="1992" t="e">
        <f>IF(E21=1,"EROARE"," ")</f>
        <v>#DIV/0!</v>
      </c>
    </row>
    <row r="22" spans="1:8" ht="16.5" customHeight="1">
      <c r="A22" s="4367"/>
      <c r="B22" s="2309" t="s">
        <v>1813</v>
      </c>
      <c r="C22" s="4370"/>
      <c r="D22" s="4370"/>
      <c r="E22" s="4370"/>
      <c r="F22" s="484"/>
      <c r="G22" s="1794"/>
    </row>
    <row r="23" spans="1:8" ht="19.5" thickBot="1">
      <c r="A23" s="4367"/>
      <c r="B23" s="2310" t="s">
        <v>1230</v>
      </c>
      <c r="C23" s="4371"/>
      <c r="D23" s="4373">
        <f>C23</f>
        <v>0</v>
      </c>
      <c r="E23" s="4371"/>
      <c r="F23" s="484"/>
      <c r="G23" s="1794"/>
      <c r="H23" s="4364" t="b">
        <f>IF(D23&lt;&gt;0,E23&lt;&gt;0,E23=0)</f>
        <v>1</v>
      </c>
    </row>
    <row r="24" spans="1:8" ht="37.5" customHeight="1">
      <c r="A24" s="4368"/>
      <c r="B24" s="2311" t="s">
        <v>1814</v>
      </c>
      <c r="C24" s="4372"/>
      <c r="D24" s="4374"/>
      <c r="E24" s="4372"/>
      <c r="F24" s="484"/>
      <c r="G24" s="1794"/>
      <c r="H24" s="4364"/>
    </row>
    <row r="25" spans="1:8">
      <c r="A25" s="92"/>
      <c r="B25" s="1380"/>
      <c r="C25" s="1381"/>
      <c r="D25" s="1381"/>
      <c r="E25" s="1381"/>
      <c r="F25" s="484"/>
      <c r="G25" s="1794"/>
    </row>
    <row r="26" spans="1:8">
      <c r="A26" s="92"/>
      <c r="B26" s="485"/>
      <c r="C26" s="484"/>
      <c r="D26" s="484"/>
      <c r="E26" s="484"/>
      <c r="F26" s="484"/>
    </row>
    <row r="27" spans="1:8" hidden="1">
      <c r="A27" s="92"/>
      <c r="B27" s="484" t="s">
        <v>1231</v>
      </c>
      <c r="C27" s="1378"/>
      <c r="D27" s="1378"/>
      <c r="E27" s="1378"/>
      <c r="F27" s="1378"/>
    </row>
    <row r="28" spans="1:8" hidden="1">
      <c r="A28" s="92"/>
      <c r="B28" s="92" t="s">
        <v>85</v>
      </c>
      <c r="C28" s="92"/>
      <c r="D28" s="92"/>
      <c r="E28" s="92"/>
      <c r="F28" s="486" t="s">
        <v>1031</v>
      </c>
    </row>
    <row r="29" spans="1:8" ht="15.75" hidden="1" customHeight="1" thickBot="1">
      <c r="A29" s="1376"/>
      <c r="B29" s="4376" t="s">
        <v>1233</v>
      </c>
      <c r="C29" s="4376" t="s">
        <v>808</v>
      </c>
      <c r="D29" s="1377" t="s">
        <v>1234</v>
      </c>
      <c r="E29" s="1377" t="s">
        <v>1234</v>
      </c>
      <c r="F29" s="4376" t="s">
        <v>1235</v>
      </c>
    </row>
    <row r="30" spans="1:8" ht="15.75" hidden="1" customHeight="1" thickBot="1">
      <c r="A30" s="1376"/>
      <c r="B30" s="4376"/>
      <c r="C30" s="4376"/>
      <c r="D30" s="488" t="s">
        <v>1236</v>
      </c>
      <c r="E30" s="488" t="s">
        <v>1236</v>
      </c>
      <c r="F30" s="4376"/>
    </row>
    <row r="31" spans="1:8" ht="15.75" hidden="1" customHeight="1" thickBot="1">
      <c r="A31" s="1376"/>
      <c r="B31" s="4376"/>
      <c r="C31" s="4376"/>
      <c r="D31" s="488" t="s">
        <v>1237</v>
      </c>
      <c r="E31" s="488" t="s">
        <v>1238</v>
      </c>
      <c r="F31" s="4376"/>
    </row>
    <row r="32" spans="1:8" hidden="1">
      <c r="A32" s="492"/>
      <c r="B32" s="490" t="s">
        <v>1239</v>
      </c>
      <c r="C32" s="491">
        <v>5005</v>
      </c>
      <c r="D32" s="492"/>
      <c r="E32" s="489"/>
      <c r="F32" s="493"/>
    </row>
    <row r="33" spans="1:6" hidden="1">
      <c r="A33" s="1382"/>
      <c r="B33" s="495" t="s">
        <v>809</v>
      </c>
      <c r="C33" s="494"/>
      <c r="D33" s="496"/>
      <c r="E33" s="497">
        <v>44000000</v>
      </c>
      <c r="F33" s="498"/>
    </row>
    <row r="34" spans="1:6" ht="19.5" hidden="1" thickBot="1">
      <c r="A34" s="1383"/>
      <c r="B34" s="500" t="s">
        <v>810</v>
      </c>
      <c r="C34" s="501"/>
      <c r="D34" s="502"/>
      <c r="E34" s="503">
        <v>44000000</v>
      </c>
      <c r="F34" s="504">
        <v>44000000</v>
      </c>
    </row>
    <row r="35" spans="1:6" hidden="1">
      <c r="A35" s="1384"/>
      <c r="B35" s="505" t="s">
        <v>820</v>
      </c>
      <c r="C35" s="491">
        <v>6605</v>
      </c>
      <c r="D35" s="489"/>
      <c r="E35" s="489"/>
      <c r="F35" s="489"/>
    </row>
    <row r="36" spans="1:6" hidden="1">
      <c r="A36" s="1382"/>
      <c r="B36" s="495" t="s">
        <v>809</v>
      </c>
      <c r="C36" s="494"/>
      <c r="D36" s="494"/>
      <c r="E36" s="497">
        <v>44000000</v>
      </c>
      <c r="F36" s="494"/>
    </row>
    <row r="37" spans="1:6" ht="19.5" hidden="1" thickBot="1">
      <c r="A37" s="1383"/>
      <c r="B37" s="500" t="s">
        <v>810</v>
      </c>
      <c r="C37" s="501"/>
      <c r="D37" s="501"/>
      <c r="E37" s="503">
        <v>44000000</v>
      </c>
      <c r="F37" s="503">
        <v>44000000</v>
      </c>
    </row>
    <row r="38" spans="1:6" hidden="1">
      <c r="A38" s="96"/>
      <c r="B38" s="507" t="s">
        <v>1240</v>
      </c>
      <c r="C38" s="491" t="s">
        <v>1033</v>
      </c>
      <c r="D38" s="489"/>
      <c r="E38" s="489"/>
      <c r="F38" s="489"/>
    </row>
    <row r="39" spans="1:6" hidden="1">
      <c r="A39" s="1382"/>
      <c r="B39" s="495" t="s">
        <v>809</v>
      </c>
      <c r="C39" s="494"/>
      <c r="D39" s="494"/>
      <c r="E39" s="497">
        <v>44000000</v>
      </c>
      <c r="F39" s="494"/>
    </row>
    <row r="40" spans="1:6" ht="19.5" hidden="1" thickBot="1">
      <c r="A40" s="1383"/>
      <c r="B40" s="500" t="s">
        <v>810</v>
      </c>
      <c r="C40" s="499"/>
      <c r="D40" s="499"/>
      <c r="E40" s="508">
        <v>44000000</v>
      </c>
      <c r="F40" s="508">
        <v>44000000</v>
      </c>
    </row>
    <row r="41" spans="1:6">
      <c r="A41" s="96"/>
      <c r="B41" s="96"/>
      <c r="C41" s="1385" t="s">
        <v>13</v>
      </c>
      <c r="D41" s="1385" t="s">
        <v>13</v>
      </c>
      <c r="E41" s="1385" t="s">
        <v>13</v>
      </c>
      <c r="F41" s="509"/>
    </row>
    <row r="42" spans="1:6">
      <c r="A42" s="96"/>
      <c r="B42" s="96"/>
      <c r="C42" s="96"/>
      <c r="D42" s="96"/>
      <c r="E42" s="509"/>
      <c r="F42" s="509"/>
    </row>
    <row r="43" spans="1:6" hidden="1">
      <c r="A43" s="96"/>
      <c r="B43" s="96"/>
      <c r="C43" s="96"/>
      <c r="D43" s="96"/>
      <c r="E43" s="509"/>
      <c r="F43" s="509"/>
    </row>
    <row r="44" spans="1:6" hidden="1">
      <c r="A44" s="96"/>
      <c r="B44" s="96"/>
      <c r="C44" s="96"/>
      <c r="D44" s="96"/>
      <c r="E44" s="509"/>
      <c r="F44" s="509"/>
    </row>
    <row r="45" spans="1:6" hidden="1">
      <c r="A45" s="96"/>
      <c r="B45" s="96"/>
      <c r="C45" s="96"/>
      <c r="D45" s="96"/>
      <c r="E45" s="509"/>
      <c r="F45" s="509"/>
    </row>
    <row r="46" spans="1:6">
      <c r="A46" s="92"/>
      <c r="B46" s="92"/>
      <c r="C46" s="92"/>
      <c r="D46" s="92"/>
      <c r="E46" s="92"/>
      <c r="F46" s="92"/>
    </row>
    <row r="47" spans="1:6" hidden="1">
      <c r="A47" s="92"/>
      <c r="B47" s="4375" t="s">
        <v>1241</v>
      </c>
      <c r="C47" s="4375"/>
      <c r="D47" s="4375"/>
      <c r="E47" s="4375"/>
      <c r="F47" s="4375"/>
    </row>
    <row r="48" spans="1:6" hidden="1">
      <c r="A48" s="92"/>
      <c r="B48" s="92" t="s">
        <v>1242</v>
      </c>
      <c r="C48" s="92"/>
      <c r="D48" s="92"/>
      <c r="E48" s="92"/>
      <c r="F48" s="486" t="s">
        <v>1031</v>
      </c>
    </row>
    <row r="49" spans="1:6" ht="15.75" hidden="1" customHeight="1" thickBot="1">
      <c r="A49" s="1376"/>
      <c r="B49" s="4376" t="s">
        <v>1233</v>
      </c>
      <c r="C49" s="4376" t="s">
        <v>808</v>
      </c>
      <c r="D49" s="1377" t="s">
        <v>1234</v>
      </c>
      <c r="E49" s="1377" t="s">
        <v>1234</v>
      </c>
      <c r="F49" s="4376" t="s">
        <v>1235</v>
      </c>
    </row>
    <row r="50" spans="1:6" ht="15.75" hidden="1" customHeight="1" thickBot="1">
      <c r="A50" s="1376"/>
      <c r="B50" s="4376"/>
      <c r="C50" s="4376"/>
      <c r="D50" s="488" t="s">
        <v>1236</v>
      </c>
      <c r="E50" s="488" t="s">
        <v>1236</v>
      </c>
      <c r="F50" s="4376"/>
    </row>
    <row r="51" spans="1:6" ht="15.75" hidden="1" customHeight="1" thickBot="1">
      <c r="A51" s="1376"/>
      <c r="B51" s="4376"/>
      <c r="C51" s="4376"/>
      <c r="D51" s="488" t="s">
        <v>1237</v>
      </c>
      <c r="E51" s="488" t="s">
        <v>1238</v>
      </c>
      <c r="F51" s="4376"/>
    </row>
    <row r="52" spans="1:6" hidden="1">
      <c r="A52" s="492"/>
      <c r="B52" s="490" t="s">
        <v>1239</v>
      </c>
      <c r="C52" s="491">
        <v>5005</v>
      </c>
      <c r="D52" s="492"/>
      <c r="E52" s="489"/>
      <c r="F52" s="493"/>
    </row>
    <row r="53" spans="1:6" hidden="1">
      <c r="A53" s="1382"/>
      <c r="B53" s="495" t="s">
        <v>809</v>
      </c>
      <c r="C53" s="494"/>
      <c r="D53" s="496"/>
      <c r="E53" s="497">
        <v>14327000</v>
      </c>
      <c r="F53" s="498"/>
    </row>
    <row r="54" spans="1:6" ht="19.5" hidden="1" thickBot="1">
      <c r="A54" s="1383"/>
      <c r="B54" s="500" t="s">
        <v>810</v>
      </c>
      <c r="C54" s="501"/>
      <c r="D54" s="502"/>
      <c r="E54" s="503">
        <v>14327000</v>
      </c>
      <c r="F54" s="504">
        <v>14266660</v>
      </c>
    </row>
    <row r="55" spans="1:6" hidden="1">
      <c r="A55" s="1384"/>
      <c r="B55" s="505" t="s">
        <v>820</v>
      </c>
      <c r="C55" s="491">
        <v>6605</v>
      </c>
      <c r="D55" s="489"/>
      <c r="E55" s="489"/>
      <c r="F55" s="489"/>
    </row>
    <row r="56" spans="1:6" hidden="1">
      <c r="A56" s="1382"/>
      <c r="B56" s="495" t="s">
        <v>809</v>
      </c>
      <c r="C56" s="494"/>
      <c r="D56" s="494"/>
      <c r="E56" s="497">
        <v>14327000</v>
      </c>
      <c r="F56" s="494"/>
    </row>
    <row r="57" spans="1:6" ht="19.5" hidden="1" thickBot="1">
      <c r="A57" s="1383"/>
      <c r="B57" s="500" t="s">
        <v>810</v>
      </c>
      <c r="C57" s="501"/>
      <c r="D57" s="501"/>
      <c r="E57" s="503">
        <v>14327000</v>
      </c>
      <c r="F57" s="503">
        <v>14266660</v>
      </c>
    </row>
    <row r="58" spans="1:6" hidden="1">
      <c r="A58" s="96"/>
      <c r="B58" s="507" t="s">
        <v>1240</v>
      </c>
      <c r="C58" s="491" t="s">
        <v>1033</v>
      </c>
      <c r="D58" s="489"/>
      <c r="E58" s="489"/>
      <c r="F58" s="489"/>
    </row>
    <row r="59" spans="1:6" hidden="1">
      <c r="A59" s="1382"/>
      <c r="B59" s="495" t="s">
        <v>809</v>
      </c>
      <c r="C59" s="494"/>
      <c r="D59" s="494"/>
      <c r="E59" s="497">
        <v>14327000</v>
      </c>
      <c r="F59" s="494"/>
    </row>
    <row r="60" spans="1:6" ht="19.5" hidden="1" thickBot="1">
      <c r="A60" s="1383"/>
      <c r="B60" s="500" t="s">
        <v>810</v>
      </c>
      <c r="C60" s="499"/>
      <c r="D60" s="499"/>
      <c r="E60" s="508">
        <v>14327000</v>
      </c>
      <c r="F60" s="508">
        <v>14266660</v>
      </c>
    </row>
    <row r="61" spans="1:6">
      <c r="A61" s="92"/>
      <c r="B61" s="92"/>
      <c r="C61" s="92"/>
      <c r="D61" s="92"/>
      <c r="E61" s="92"/>
      <c r="F61" s="92"/>
    </row>
    <row r="62" spans="1:6">
      <c r="A62" s="92"/>
      <c r="B62" s="92"/>
      <c r="C62" s="92"/>
      <c r="D62" s="92"/>
      <c r="E62" s="92"/>
      <c r="F62" s="92"/>
    </row>
    <row r="63" spans="1:6" ht="32.25" customHeight="1">
      <c r="A63" s="4301" t="s">
        <v>1243</v>
      </c>
      <c r="B63" s="4301"/>
      <c r="C63" s="4301"/>
      <c r="D63" s="4301"/>
      <c r="E63" s="4301"/>
    </row>
    <row r="64" spans="1:6">
      <c r="A64" s="92" t="s">
        <v>1242</v>
      </c>
      <c r="B64" s="92"/>
      <c r="C64" s="92"/>
      <c r="D64" s="92"/>
      <c r="E64" s="486" t="s">
        <v>1031</v>
      </c>
    </row>
    <row r="65" spans="1:6">
      <c r="A65" s="4361" t="s">
        <v>1233</v>
      </c>
      <c r="B65" s="4361" t="s">
        <v>808</v>
      </c>
      <c r="C65" s="1533" t="s">
        <v>1234</v>
      </c>
      <c r="D65" s="1533" t="s">
        <v>1234</v>
      </c>
      <c r="E65" s="4383" t="s">
        <v>813</v>
      </c>
    </row>
    <row r="66" spans="1:6">
      <c r="A66" s="4381"/>
      <c r="B66" s="4381"/>
      <c r="C66" s="1534" t="s">
        <v>1236</v>
      </c>
      <c r="D66" s="1534" t="s">
        <v>1236</v>
      </c>
      <c r="E66" s="4384"/>
    </row>
    <row r="67" spans="1:6">
      <c r="A67" s="4382"/>
      <c r="B67" s="4382"/>
      <c r="C67" s="1535" t="s">
        <v>1237</v>
      </c>
      <c r="D67" s="1535" t="s">
        <v>1238</v>
      </c>
      <c r="E67" s="4384"/>
    </row>
    <row r="68" spans="1:6">
      <c r="A68" s="1525" t="s">
        <v>1239</v>
      </c>
      <c r="B68" s="1508">
        <v>5005</v>
      </c>
      <c r="C68" s="1511"/>
      <c r="D68" s="1511"/>
      <c r="E68" s="1514"/>
    </row>
    <row r="69" spans="1:6">
      <c r="A69" s="1526" t="s">
        <v>809</v>
      </c>
      <c r="B69" s="1509"/>
      <c r="C69" s="1512">
        <f>+C72</f>
        <v>13000030</v>
      </c>
      <c r="D69" s="1512">
        <f>+D72</f>
        <v>10728580</v>
      </c>
      <c r="E69" s="1515"/>
    </row>
    <row r="70" spans="1:6">
      <c r="A70" s="1527" t="s">
        <v>810</v>
      </c>
      <c r="B70" s="1510"/>
      <c r="C70" s="1513">
        <f>+C73</f>
        <v>13648650</v>
      </c>
      <c r="D70" s="1513">
        <f>+D73</f>
        <v>12196750</v>
      </c>
      <c r="E70" s="1516">
        <f>+E73</f>
        <v>12190703</v>
      </c>
    </row>
    <row r="71" spans="1:6">
      <c r="A71" s="1529" t="s">
        <v>820</v>
      </c>
      <c r="B71" s="1517">
        <v>6605</v>
      </c>
      <c r="C71" s="1520"/>
      <c r="D71" s="1520"/>
      <c r="E71" s="1524"/>
    </row>
    <row r="72" spans="1:6">
      <c r="A72" s="1526" t="s">
        <v>809</v>
      </c>
      <c r="B72" s="1518"/>
      <c r="C72" s="1521">
        <f>+C75</f>
        <v>13000030</v>
      </c>
      <c r="D72" s="1521">
        <f>+D75</f>
        <v>10728580</v>
      </c>
      <c r="E72" s="1521"/>
    </row>
    <row r="73" spans="1:6">
      <c r="A73" s="1527" t="s">
        <v>810</v>
      </c>
      <c r="B73" s="1519"/>
      <c r="C73" s="1522">
        <f>+C76</f>
        <v>13648650</v>
      </c>
      <c r="D73" s="1522">
        <f>+D76</f>
        <v>12196750</v>
      </c>
      <c r="E73" s="1522">
        <f>+E76</f>
        <v>12190703</v>
      </c>
    </row>
    <row r="74" spans="1:6">
      <c r="A74" s="1528" t="s">
        <v>1240</v>
      </c>
      <c r="B74" s="1517" t="s">
        <v>1033</v>
      </c>
      <c r="C74" s="1523"/>
      <c r="D74" s="1523"/>
      <c r="E74" s="1530"/>
    </row>
    <row r="75" spans="1:6">
      <c r="A75" s="1526" t="s">
        <v>809</v>
      </c>
      <c r="B75" s="1518"/>
      <c r="C75" s="1521">
        <f>+'CONT EXECUTIE  '!C144+'CONT EXECUTIE  '!C147+'CONT EXECUTIE  '!C180</f>
        <v>13000030</v>
      </c>
      <c r="D75" s="1521">
        <f>+'CONT EXECUTIE  '!D144+'CONT EXECUTIE  '!D147+'CONT EXECUTIE  '!D180</f>
        <v>10728580</v>
      </c>
      <c r="E75" s="1531"/>
    </row>
    <row r="76" spans="1:6">
      <c r="A76" s="1527" t="s">
        <v>810</v>
      </c>
      <c r="B76" s="1519"/>
      <c r="C76" s="1522">
        <f>+'CONT EXECUTIE  '!E144+'CONT EXECUTIE  '!E147+'CONT EXECUTIE  '!E180</f>
        <v>13648650</v>
      </c>
      <c r="D76" s="1522">
        <f>+'CONT EXECUTIE  '!F144+'CONT EXECUTIE  '!F147+'CONT EXECUTIE  '!F180</f>
        <v>12196750</v>
      </c>
      <c r="E76" s="1532">
        <f>+PLATI!C121+PLATI!C124+PLATI!C157</f>
        <v>12190703</v>
      </c>
    </row>
    <row r="77" spans="1:6">
      <c r="A77" s="96"/>
      <c r="B77" s="542"/>
      <c r="C77" s="96"/>
      <c r="D77" s="509"/>
      <c r="E77" s="509"/>
      <c r="F77" s="509"/>
    </row>
    <row r="78" spans="1:6">
      <c r="A78" s="96"/>
      <c r="B78" s="542"/>
      <c r="C78" s="96"/>
      <c r="D78" s="509"/>
      <c r="E78" s="509"/>
      <c r="F78" s="509"/>
    </row>
    <row r="79" spans="1:6">
      <c r="A79" s="96"/>
      <c r="B79" s="542"/>
      <c r="C79" s="96"/>
      <c r="D79" s="509"/>
      <c r="E79" s="509"/>
      <c r="F79" s="509"/>
    </row>
    <row r="80" spans="1:6">
      <c r="A80" s="92"/>
      <c r="B80" s="92"/>
      <c r="C80" s="92"/>
      <c r="D80" s="92"/>
      <c r="E80" s="92"/>
      <c r="F80" s="92"/>
    </row>
    <row r="81" spans="1:6">
      <c r="A81" s="92"/>
      <c r="B81" s="92"/>
      <c r="C81" s="92"/>
      <c r="D81" s="92"/>
      <c r="E81" s="92"/>
      <c r="F81" s="510"/>
    </row>
    <row r="82" spans="1:6">
      <c r="A82" s="92"/>
      <c r="B82" s="1068"/>
      <c r="C82" s="1068"/>
      <c r="D82" s="511"/>
      <c r="E82" s="511"/>
      <c r="F82" s="92"/>
    </row>
    <row r="83" spans="1:6">
      <c r="A83" s="4385" t="str">
        <f>+'ANEXA 1'!B94</f>
        <v>DIRECTOR  GENERAL,</v>
      </c>
      <c r="B83" s="4311"/>
      <c r="C83" s="511"/>
      <c r="D83" s="4300" t="str">
        <f>+'ANEXA 1'!D94:E94</f>
        <v>DIRECTOR  EXECUTIV  ECONOMIC,</v>
      </c>
      <c r="E83" s="4300"/>
      <c r="F83" s="4300"/>
    </row>
    <row r="84" spans="1:6">
      <c r="A84" s="1628"/>
      <c r="B84" s="1628"/>
      <c r="C84" s="1386"/>
      <c r="D84" s="1629"/>
      <c r="E84" s="1629"/>
      <c r="F84" s="1629"/>
    </row>
    <row r="85" spans="1:6">
      <c r="A85" s="4379" t="str">
        <f>+'ANEXA 1'!B96</f>
        <v>EC.ALBU DRINA</v>
      </c>
      <c r="B85" s="4379"/>
      <c r="C85" s="1386"/>
      <c r="D85" s="4380" t="str">
        <f>+'ANEXA 1'!D96</f>
        <v>EC.BIRCU FLORINA</v>
      </c>
      <c r="E85" s="4380"/>
      <c r="F85" s="4380"/>
    </row>
    <row r="86" spans="1:6">
      <c r="A86" s="1386"/>
      <c r="B86" s="1386"/>
      <c r="C86" s="1386"/>
      <c r="D86" s="1386"/>
      <c r="E86" s="1386"/>
      <c r="F86" s="1386"/>
    </row>
    <row r="89" spans="1:6">
      <c r="A89" s="4386">
        <f>+'ANEXA 1'!B99</f>
        <v>0</v>
      </c>
      <c r="B89" s="4386"/>
      <c r="D89" s="4378">
        <f>'ANEXA 1'!D99:E99</f>
        <v>0</v>
      </c>
      <c r="E89" s="4378"/>
      <c r="F89" s="4378"/>
    </row>
    <row r="90" spans="1:6">
      <c r="A90" s="1627"/>
      <c r="B90" s="1627"/>
      <c r="D90" s="1630"/>
      <c r="E90" s="1630"/>
      <c r="F90" s="1630"/>
    </row>
    <row r="91" spans="1:6">
      <c r="A91" s="4387">
        <f>+'ANEXA 1'!B101</f>
        <v>0</v>
      </c>
      <c r="B91" s="4387"/>
      <c r="D91" s="4378">
        <f>'ANEXA 1'!D101:E101</f>
        <v>0</v>
      </c>
      <c r="E91" s="4378"/>
      <c r="F91" s="4378"/>
    </row>
  </sheetData>
  <sheetProtection password="CF1D" sheet="1" objects="1" scenarios="1"/>
  <mergeCells count="48">
    <mergeCell ref="G15:G16"/>
    <mergeCell ref="D89:F89"/>
    <mergeCell ref="D91:F91"/>
    <mergeCell ref="A85:B85"/>
    <mergeCell ref="D85:F85"/>
    <mergeCell ref="A63:E63"/>
    <mergeCell ref="A65:A67"/>
    <mergeCell ref="B65:B67"/>
    <mergeCell ref="E65:E67"/>
    <mergeCell ref="A83:B83"/>
    <mergeCell ref="D83:F83"/>
    <mergeCell ref="A89:B89"/>
    <mergeCell ref="A91:B91"/>
    <mergeCell ref="B29:B31"/>
    <mergeCell ref="C29:C31"/>
    <mergeCell ref="F29:F31"/>
    <mergeCell ref="B47:F47"/>
    <mergeCell ref="B49:B51"/>
    <mergeCell ref="C49:C51"/>
    <mergeCell ref="F49:F51"/>
    <mergeCell ref="A21:A24"/>
    <mergeCell ref="C21:C22"/>
    <mergeCell ref="D21:D22"/>
    <mergeCell ref="E21:E22"/>
    <mergeCell ref="C23:C24"/>
    <mergeCell ref="D23:D24"/>
    <mergeCell ref="E23:E24"/>
    <mergeCell ref="D17:D18"/>
    <mergeCell ref="E17:E18"/>
    <mergeCell ref="C19:C20"/>
    <mergeCell ref="D19:D20"/>
    <mergeCell ref="E19:E20"/>
    <mergeCell ref="H23:H24"/>
    <mergeCell ref="H19:H20"/>
    <mergeCell ref="H15:H16"/>
    <mergeCell ref="A1:E1"/>
    <mergeCell ref="A6:F6"/>
    <mergeCell ref="A7:F7"/>
    <mergeCell ref="A8:F8"/>
    <mergeCell ref="A13:A16"/>
    <mergeCell ref="C13:C14"/>
    <mergeCell ref="D13:D14"/>
    <mergeCell ref="E13:E14"/>
    <mergeCell ref="C15:C16"/>
    <mergeCell ref="D15:D16"/>
    <mergeCell ref="E15:E16"/>
    <mergeCell ref="A17:A20"/>
    <mergeCell ref="C17:C18"/>
  </mergeCells>
  <pageMargins left="0.98425196850393704" right="0.16" top="0.15748031496062992" bottom="0.15748031496062992" header="0.15748031496062992" footer="0.15748031496062992"/>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31">
    <tabColor rgb="FFF2DCDB"/>
  </sheetPr>
  <dimension ref="A1:H86"/>
  <sheetViews>
    <sheetView showZeros="0" workbookViewId="0">
      <selection activeCell="M69" sqref="M69"/>
    </sheetView>
  </sheetViews>
  <sheetFormatPr defaultColWidth="9.140625" defaultRowHeight="12.75"/>
  <cols>
    <col min="1" max="1" width="9.140625" style="92"/>
    <col min="2" max="2" width="31.85546875" style="92" customWidth="1"/>
    <col min="3" max="3" width="13.5703125" style="92" customWidth="1"/>
    <col min="4" max="4" width="13.42578125" style="92" customWidth="1"/>
    <col min="5" max="5" width="13.7109375" style="92" customWidth="1"/>
    <col min="6" max="6" width="15.85546875" style="92" customWidth="1"/>
    <col min="7" max="16384" width="9.140625" style="92"/>
  </cols>
  <sheetData>
    <row r="1" spans="1:8" ht="15">
      <c r="A1" s="4265" t="str">
        <f>'ANEXA 1'!A1:E1</f>
        <v>CASA  DE  ASIGURĂRI  DE  SĂNĂTATE MEHEDINTI</v>
      </c>
      <c r="B1" s="4265"/>
      <c r="C1" s="4265"/>
      <c r="D1" s="4265"/>
      <c r="E1" s="4265"/>
    </row>
    <row r="2" spans="1:8">
      <c r="F2" s="307" t="s">
        <v>1225</v>
      </c>
    </row>
    <row r="6" spans="1:8" ht="15.75">
      <c r="B6" s="4276" t="s">
        <v>1226</v>
      </c>
      <c r="C6" s="4276"/>
      <c r="D6" s="4276"/>
      <c r="E6" s="4276"/>
      <c r="F6" s="4276"/>
    </row>
    <row r="7" spans="1:8" ht="15.75">
      <c r="B7" s="4276" t="s">
        <v>1810</v>
      </c>
      <c r="C7" s="4276"/>
      <c r="D7" s="4276"/>
      <c r="E7" s="4276"/>
      <c r="F7" s="4276"/>
    </row>
    <row r="8" spans="1:8" ht="15.75">
      <c r="B8" s="4311" t="s">
        <v>1811</v>
      </c>
      <c r="C8" s="4311"/>
      <c r="D8" s="4311"/>
      <c r="E8" s="4311"/>
      <c r="F8" s="4311"/>
    </row>
    <row r="9" spans="1:8" ht="15.75">
      <c r="B9" s="484"/>
      <c r="C9" s="484"/>
      <c r="D9" s="484"/>
      <c r="E9" s="484"/>
      <c r="F9" s="484"/>
    </row>
    <row r="10" spans="1:8" ht="15.75">
      <c r="B10" s="484" t="s">
        <v>1812</v>
      </c>
      <c r="C10" s="484"/>
      <c r="D10" s="484"/>
      <c r="E10" s="484"/>
      <c r="F10" s="484"/>
    </row>
    <row r="11" spans="1:8" ht="15.75">
      <c r="B11" s="484"/>
      <c r="C11" s="484"/>
      <c r="D11" s="484"/>
      <c r="E11" s="484"/>
      <c r="F11" s="484"/>
    </row>
    <row r="12" spans="1:8" ht="44.25" customHeight="1">
      <c r="B12" s="2313" t="s">
        <v>1228</v>
      </c>
      <c r="C12" s="2314" t="s">
        <v>2390</v>
      </c>
      <c r="D12" s="2314" t="s">
        <v>2391</v>
      </c>
      <c r="E12" s="2314" t="s">
        <v>2392</v>
      </c>
      <c r="F12" s="484"/>
      <c r="H12" s="313"/>
    </row>
    <row r="13" spans="1:8" ht="15.75">
      <c r="B13" s="2316" t="s">
        <v>1229</v>
      </c>
      <c r="C13" s="4394" t="e">
        <f>D60/C15</f>
        <v>#DIV/0!</v>
      </c>
      <c r="D13" s="4394" t="e">
        <f>E60/D15</f>
        <v>#DIV/0!</v>
      </c>
      <c r="E13" s="4396" t="e">
        <f>F61/E15</f>
        <v>#DIV/0!</v>
      </c>
      <c r="F13" s="484"/>
    </row>
    <row r="14" spans="1:8" ht="15.75">
      <c r="B14" s="2317" t="s">
        <v>1813</v>
      </c>
      <c r="C14" s="4395"/>
      <c r="D14" s="4395"/>
      <c r="E14" s="4397"/>
      <c r="F14" s="484"/>
    </row>
    <row r="15" spans="1:8" ht="15.75">
      <c r="B15" s="2318" t="s">
        <v>1230</v>
      </c>
      <c r="C15" s="4398">
        <f>'26,3,1'!C15+'26,3,1'!C19+'26,3,1'!C23</f>
        <v>0</v>
      </c>
      <c r="D15" s="4400">
        <f>'26,3,1'!D15+'26,3,1'!D19+'26,3,1'!D23</f>
        <v>0</v>
      </c>
      <c r="E15" s="4401">
        <f>'26,3,1'!E15+'26,3,1'!E19+'26,3,1'!E23</f>
        <v>0</v>
      </c>
      <c r="F15" s="484"/>
    </row>
    <row r="16" spans="1:8" ht="24.75">
      <c r="B16" s="2319" t="s">
        <v>1814</v>
      </c>
      <c r="C16" s="4399"/>
      <c r="D16" s="4291"/>
      <c r="E16" s="4402"/>
      <c r="F16" s="484"/>
    </row>
    <row r="17" spans="1:6" ht="15.75">
      <c r="B17" s="485"/>
      <c r="C17" s="484"/>
      <c r="D17" s="484"/>
      <c r="E17" s="484"/>
      <c r="F17" s="484"/>
    </row>
    <row r="18" spans="1:6" ht="15.75" hidden="1" customHeight="1">
      <c r="B18" s="484" t="s">
        <v>1231</v>
      </c>
      <c r="C18" s="130"/>
      <c r="D18" s="130"/>
      <c r="E18" s="130"/>
      <c r="F18" s="130"/>
    </row>
    <row r="19" spans="1:6" hidden="1">
      <c r="B19" s="92" t="s">
        <v>85</v>
      </c>
      <c r="F19" s="486" t="s">
        <v>1031</v>
      </c>
    </row>
    <row r="20" spans="1:6" ht="12.75" hidden="1" customHeight="1">
      <c r="A20" s="4389" t="s">
        <v>1232</v>
      </c>
      <c r="B20" s="4376" t="s">
        <v>1233</v>
      </c>
      <c r="C20" s="4376" t="s">
        <v>808</v>
      </c>
      <c r="D20" s="487" t="s">
        <v>1234</v>
      </c>
      <c r="E20" s="487" t="str">
        <f>D20</f>
        <v>Credite</v>
      </c>
      <c r="F20" s="4376" t="s">
        <v>1235</v>
      </c>
    </row>
    <row r="21" spans="1:6" hidden="1">
      <c r="A21" s="4389"/>
      <c r="B21" s="4376"/>
      <c r="C21" s="4376"/>
      <c r="D21" s="488" t="s">
        <v>1236</v>
      </c>
      <c r="E21" s="488" t="str">
        <f>D21</f>
        <v>bugetare</v>
      </c>
      <c r="F21" s="4376"/>
    </row>
    <row r="22" spans="1:6" hidden="1">
      <c r="A22" s="4389"/>
      <c r="B22" s="4376"/>
      <c r="C22" s="4376"/>
      <c r="D22" s="488" t="s">
        <v>1237</v>
      </c>
      <c r="E22" s="488" t="s">
        <v>1238</v>
      </c>
      <c r="F22" s="4376"/>
    </row>
    <row r="23" spans="1:6" hidden="1">
      <c r="A23" s="489"/>
      <c r="B23" s="490" t="s">
        <v>1239</v>
      </c>
      <c r="C23" s="491">
        <v>5005</v>
      </c>
      <c r="D23" s="492"/>
      <c r="E23" s="489"/>
      <c r="F23" s="493"/>
    </row>
    <row r="24" spans="1:6" hidden="1">
      <c r="A24" s="494"/>
      <c r="B24" s="495" t="s">
        <v>809</v>
      </c>
      <c r="C24" s="494"/>
      <c r="D24" s="496"/>
      <c r="E24" s="497">
        <v>44000000</v>
      </c>
      <c r="F24" s="498"/>
    </row>
    <row r="25" spans="1:6" ht="13.5" hidden="1" thickBot="1">
      <c r="A25" s="499"/>
      <c r="B25" s="500" t="s">
        <v>810</v>
      </c>
      <c r="C25" s="501"/>
      <c r="D25" s="502"/>
      <c r="E25" s="503">
        <v>44000000</v>
      </c>
      <c r="F25" s="504">
        <v>44000000</v>
      </c>
    </row>
    <row r="26" spans="1:6" hidden="1">
      <c r="A26" s="489"/>
      <c r="B26" s="505" t="s">
        <v>820</v>
      </c>
      <c r="C26" s="491">
        <v>6605</v>
      </c>
      <c r="D26" s="489"/>
      <c r="E26" s="489"/>
      <c r="F26" s="489"/>
    </row>
    <row r="27" spans="1:6" hidden="1">
      <c r="A27" s="494"/>
      <c r="B27" s="495" t="s">
        <v>809</v>
      </c>
      <c r="C27" s="494"/>
      <c r="D27" s="494"/>
      <c r="E27" s="497">
        <f>E24</f>
        <v>44000000</v>
      </c>
      <c r="F27" s="494"/>
    </row>
    <row r="28" spans="1:6" ht="13.5" hidden="1" thickBot="1">
      <c r="A28" s="499"/>
      <c r="B28" s="500" t="s">
        <v>810</v>
      </c>
      <c r="C28" s="501"/>
      <c r="D28" s="501"/>
      <c r="E28" s="503">
        <f>E25</f>
        <v>44000000</v>
      </c>
      <c r="F28" s="503">
        <f>E28</f>
        <v>44000000</v>
      </c>
    </row>
    <row r="29" spans="1:6" hidden="1">
      <c r="A29" s="506"/>
      <c r="B29" s="507" t="s">
        <v>1240</v>
      </c>
      <c r="C29" s="491" t="s">
        <v>1033</v>
      </c>
      <c r="D29" s="489"/>
      <c r="E29" s="489"/>
      <c r="F29" s="489"/>
    </row>
    <row r="30" spans="1:6" hidden="1">
      <c r="A30" s="494"/>
      <c r="B30" s="495" t="s">
        <v>809</v>
      </c>
      <c r="C30" s="494"/>
      <c r="D30" s="494"/>
      <c r="E30" s="497">
        <f>E27</f>
        <v>44000000</v>
      </c>
      <c r="F30" s="494"/>
    </row>
    <row r="31" spans="1:6" ht="13.5" hidden="1" thickBot="1">
      <c r="A31" s="499"/>
      <c r="B31" s="500" t="s">
        <v>810</v>
      </c>
      <c r="C31" s="499"/>
      <c r="D31" s="499"/>
      <c r="E31" s="508">
        <f>E30</f>
        <v>44000000</v>
      </c>
      <c r="F31" s="508">
        <f>E31</f>
        <v>44000000</v>
      </c>
    </row>
    <row r="32" spans="1:6" ht="15">
      <c r="A32" s="96"/>
      <c r="B32" s="96"/>
      <c r="C32" s="129"/>
      <c r="D32" s="129"/>
      <c r="E32" s="129"/>
      <c r="F32" s="509"/>
    </row>
    <row r="33" spans="1:6">
      <c r="A33" s="96"/>
      <c r="B33" s="96"/>
      <c r="C33" s="96"/>
      <c r="D33" s="96"/>
      <c r="E33" s="509"/>
      <c r="F33" s="509"/>
    </row>
    <row r="34" spans="1:6">
      <c r="A34" s="96"/>
      <c r="B34" s="96"/>
      <c r="C34" s="96"/>
      <c r="D34" s="96"/>
      <c r="E34" s="509"/>
      <c r="F34" s="509"/>
    </row>
    <row r="35" spans="1:6">
      <c r="A35" s="96"/>
      <c r="B35" s="96"/>
      <c r="C35" s="96"/>
      <c r="D35" s="96"/>
      <c r="E35" s="509"/>
      <c r="F35" s="509"/>
    </row>
    <row r="36" spans="1:6">
      <c r="A36" s="96"/>
      <c r="B36" s="96"/>
      <c r="C36" s="96"/>
      <c r="D36" s="96"/>
      <c r="E36" s="509"/>
      <c r="F36" s="509"/>
    </row>
    <row r="38" spans="1:6" ht="31.5" hidden="1" customHeight="1">
      <c r="B38" s="4375" t="s">
        <v>1241</v>
      </c>
      <c r="C38" s="4375"/>
      <c r="D38" s="4375"/>
      <c r="E38" s="4375"/>
      <c r="F38" s="4375"/>
    </row>
    <row r="39" spans="1:6" hidden="1">
      <c r="B39" s="92" t="s">
        <v>1242</v>
      </c>
      <c r="F39" s="486" t="s">
        <v>1031</v>
      </c>
    </row>
    <row r="40" spans="1:6" ht="12.75" hidden="1" customHeight="1">
      <c r="A40" s="4389" t="s">
        <v>1232</v>
      </c>
      <c r="B40" s="4376" t="s">
        <v>1233</v>
      </c>
      <c r="C40" s="4376" t="s">
        <v>808</v>
      </c>
      <c r="D40" s="487" t="s">
        <v>1234</v>
      </c>
      <c r="E40" s="487" t="str">
        <f>D40</f>
        <v>Credite</v>
      </c>
      <c r="F40" s="4376" t="s">
        <v>1235</v>
      </c>
    </row>
    <row r="41" spans="1:6" hidden="1">
      <c r="A41" s="4389"/>
      <c r="B41" s="4376"/>
      <c r="C41" s="4376"/>
      <c r="D41" s="488" t="s">
        <v>1236</v>
      </c>
      <c r="E41" s="488" t="str">
        <f>D41</f>
        <v>bugetare</v>
      </c>
      <c r="F41" s="4376"/>
    </row>
    <row r="42" spans="1:6" hidden="1">
      <c r="A42" s="4389"/>
      <c r="B42" s="4376"/>
      <c r="C42" s="4376"/>
      <c r="D42" s="488" t="s">
        <v>1237</v>
      </c>
      <c r="E42" s="488" t="s">
        <v>1238</v>
      </c>
      <c r="F42" s="4376"/>
    </row>
    <row r="43" spans="1:6" hidden="1">
      <c r="A43" s="489"/>
      <c r="B43" s="490" t="s">
        <v>1239</v>
      </c>
      <c r="C43" s="491">
        <v>5005</v>
      </c>
      <c r="D43" s="492"/>
      <c r="E43" s="489"/>
      <c r="F43" s="493"/>
    </row>
    <row r="44" spans="1:6" hidden="1">
      <c r="A44" s="494"/>
      <c r="B44" s="495" t="s">
        <v>809</v>
      </c>
      <c r="C44" s="494"/>
      <c r="D44" s="496"/>
      <c r="E44" s="497">
        <v>14327000</v>
      </c>
      <c r="F44" s="498"/>
    </row>
    <row r="45" spans="1:6" ht="13.5" hidden="1" thickBot="1">
      <c r="A45" s="499"/>
      <c r="B45" s="500" t="s">
        <v>810</v>
      </c>
      <c r="C45" s="501"/>
      <c r="D45" s="502"/>
      <c r="E45" s="503">
        <f>E44</f>
        <v>14327000</v>
      </c>
      <c r="F45" s="504">
        <v>14266660</v>
      </c>
    </row>
    <row r="46" spans="1:6" hidden="1">
      <c r="A46" s="489"/>
      <c r="B46" s="505" t="s">
        <v>820</v>
      </c>
      <c r="C46" s="491">
        <v>6605</v>
      </c>
      <c r="D46" s="489"/>
      <c r="E46" s="489"/>
      <c r="F46" s="489"/>
    </row>
    <row r="47" spans="1:6" hidden="1">
      <c r="A47" s="494"/>
      <c r="B47" s="495" t="s">
        <v>809</v>
      </c>
      <c r="C47" s="494"/>
      <c r="D47" s="494"/>
      <c r="E47" s="497">
        <f>E44</f>
        <v>14327000</v>
      </c>
      <c r="F47" s="494"/>
    </row>
    <row r="48" spans="1:6" ht="13.5" hidden="1" thickBot="1">
      <c r="A48" s="499"/>
      <c r="B48" s="500" t="s">
        <v>810</v>
      </c>
      <c r="C48" s="501"/>
      <c r="D48" s="501"/>
      <c r="E48" s="503">
        <f>E45</f>
        <v>14327000</v>
      </c>
      <c r="F48" s="503">
        <f>F45</f>
        <v>14266660</v>
      </c>
    </row>
    <row r="49" spans="1:6" hidden="1">
      <c r="A49" s="506"/>
      <c r="B49" s="507" t="s">
        <v>1240</v>
      </c>
      <c r="C49" s="491" t="s">
        <v>1033</v>
      </c>
      <c r="D49" s="489"/>
      <c r="E49" s="489"/>
      <c r="F49" s="489"/>
    </row>
    <row r="50" spans="1:6" hidden="1">
      <c r="A50" s="494"/>
      <c r="B50" s="495" t="s">
        <v>809</v>
      </c>
      <c r="C50" s="494"/>
      <c r="D50" s="494"/>
      <c r="E50" s="497">
        <f>E47</f>
        <v>14327000</v>
      </c>
      <c r="F50" s="494"/>
    </row>
    <row r="51" spans="1:6" ht="13.5" hidden="1" thickBot="1">
      <c r="A51" s="499"/>
      <c r="B51" s="500" t="s">
        <v>810</v>
      </c>
      <c r="C51" s="499"/>
      <c r="D51" s="499"/>
      <c r="E51" s="508">
        <f>E50</f>
        <v>14327000</v>
      </c>
      <c r="F51" s="508">
        <f>F48</f>
        <v>14266660</v>
      </c>
    </row>
    <row r="54" spans="1:6" ht="30" customHeight="1">
      <c r="B54" s="4301" t="s">
        <v>1243</v>
      </c>
      <c r="C54" s="4301"/>
      <c r="D54" s="4301"/>
      <c r="E54" s="4301"/>
      <c r="F54" s="4301"/>
    </row>
    <row r="55" spans="1:6">
      <c r="B55" s="92" t="s">
        <v>1242</v>
      </c>
      <c r="F55" s="486" t="s">
        <v>1031</v>
      </c>
    </row>
    <row r="56" spans="1:6" ht="12.75" customHeight="1" thickBot="1">
      <c r="A56" s="4390" t="s">
        <v>1232</v>
      </c>
      <c r="B56" s="4361" t="s">
        <v>1233</v>
      </c>
      <c r="C56" s="4361" t="s">
        <v>808</v>
      </c>
      <c r="D56" s="2244" t="s">
        <v>1234</v>
      </c>
      <c r="E56" s="2244" t="str">
        <f>D56</f>
        <v>Credite</v>
      </c>
      <c r="F56" s="4361" t="s">
        <v>813</v>
      </c>
    </row>
    <row r="57" spans="1:6" ht="13.5" thickBot="1">
      <c r="A57" s="4391"/>
      <c r="B57" s="4362"/>
      <c r="C57" s="4362"/>
      <c r="D57" s="2245" t="s">
        <v>1236</v>
      </c>
      <c r="E57" s="2245" t="str">
        <f>D57</f>
        <v>bugetare</v>
      </c>
      <c r="F57" s="4362"/>
    </row>
    <row r="58" spans="1:6">
      <c r="A58" s="4392"/>
      <c r="B58" s="4363"/>
      <c r="C58" s="4363"/>
      <c r="D58" s="2246" t="s">
        <v>1237</v>
      </c>
      <c r="E58" s="2246" t="s">
        <v>1238</v>
      </c>
      <c r="F58" s="4363"/>
    </row>
    <row r="59" spans="1:6" ht="13.9" customHeight="1">
      <c r="A59" s="2324"/>
      <c r="B59" s="2327" t="s">
        <v>1239</v>
      </c>
      <c r="C59" s="4273">
        <v>5005</v>
      </c>
      <c r="D59" s="2268"/>
      <c r="E59" s="2268"/>
      <c r="F59" s="2269"/>
    </row>
    <row r="60" spans="1:6" ht="21" customHeight="1">
      <c r="A60" s="2325"/>
      <c r="B60" s="2320" t="s">
        <v>809</v>
      </c>
      <c r="C60" s="4274"/>
      <c r="D60" s="2272">
        <f>+'CONT EXECUTIE  '!C144+'CONT EXECUTIE  '!C147+'CONT EXECUTIE  '!C180</f>
        <v>13000030</v>
      </c>
      <c r="E60" s="2272">
        <f>+'CONT EXECUTIE  '!D144+'CONT EXECUTIE  '!D147+'CONT EXECUTIE  '!D180</f>
        <v>10728580</v>
      </c>
      <c r="F60" s="2273"/>
    </row>
    <row r="61" spans="1:6" ht="21" customHeight="1">
      <c r="A61" s="2325"/>
      <c r="B61" s="2321" t="s">
        <v>810</v>
      </c>
      <c r="C61" s="4275"/>
      <c r="D61" s="2276">
        <f>+'CONT EXECUTIE  '!E144+'CONT EXECUTIE  '!E147+'CONT EXECUTIE  '!E180</f>
        <v>13648650</v>
      </c>
      <c r="E61" s="2276">
        <f>+'CONT EXECUTIE  '!F144+'CONT EXECUTIE  '!F147+'CONT EXECUTIE  '!F180</f>
        <v>12196750</v>
      </c>
      <c r="F61" s="2277">
        <f>+PLATI!C121+PLATI!C124+PLATI!C157</f>
        <v>12190703</v>
      </c>
    </row>
    <row r="62" spans="1:6" ht="12.6" customHeight="1">
      <c r="A62" s="2325"/>
      <c r="B62" s="2322" t="s">
        <v>820</v>
      </c>
      <c r="C62" s="4273">
        <v>6605</v>
      </c>
      <c r="D62" s="1990"/>
      <c r="E62" s="1990"/>
      <c r="F62" s="2278"/>
    </row>
    <row r="63" spans="1:6" ht="21" customHeight="1">
      <c r="A63" s="2325"/>
      <c r="B63" s="2323" t="s">
        <v>809</v>
      </c>
      <c r="C63" s="4274"/>
      <c r="D63" s="2279">
        <f>D60</f>
        <v>13000030</v>
      </c>
      <c r="E63" s="2279">
        <f>E60</f>
        <v>10728580</v>
      </c>
      <c r="F63" s="2280"/>
    </row>
    <row r="64" spans="1:6" ht="21" customHeight="1">
      <c r="A64" s="2325"/>
      <c r="B64" s="2321" t="s">
        <v>810</v>
      </c>
      <c r="C64" s="4275"/>
      <c r="D64" s="2281">
        <f>D61</f>
        <v>13648650</v>
      </c>
      <c r="E64" s="2281">
        <f>E61</f>
        <v>12196750</v>
      </c>
      <c r="F64" s="2282">
        <f>F61</f>
        <v>12190703</v>
      </c>
    </row>
    <row r="65" spans="1:7" ht="16.149999999999999" customHeight="1">
      <c r="A65" s="2325"/>
      <c r="B65" s="2322" t="s">
        <v>1240</v>
      </c>
      <c r="C65" s="4273" t="s">
        <v>1033</v>
      </c>
      <c r="D65" s="1991"/>
      <c r="E65" s="1991"/>
      <c r="F65" s="2328"/>
    </row>
    <row r="66" spans="1:7" ht="21" customHeight="1">
      <c r="A66" s="2325"/>
      <c r="B66" s="2323" t="s">
        <v>809</v>
      </c>
      <c r="C66" s="4274"/>
      <c r="D66" s="2279">
        <f>+D63</f>
        <v>13000030</v>
      </c>
      <c r="E66" s="2279">
        <f>+E63</f>
        <v>10728580</v>
      </c>
      <c r="F66" s="2280"/>
    </row>
    <row r="67" spans="1:7" ht="21" customHeight="1">
      <c r="A67" s="2326"/>
      <c r="B67" s="2321" t="s">
        <v>810</v>
      </c>
      <c r="C67" s="4275"/>
      <c r="D67" s="2281">
        <f>+D64</f>
        <v>13648650</v>
      </c>
      <c r="E67" s="2281">
        <f>+E64</f>
        <v>12196750</v>
      </c>
      <c r="F67" s="2282">
        <f>+F64</f>
        <v>12190703</v>
      </c>
    </row>
    <row r="68" spans="1:7">
      <c r="A68" s="96"/>
      <c r="B68" s="542"/>
      <c r="C68" s="96"/>
      <c r="D68" s="509"/>
      <c r="E68" s="509"/>
      <c r="F68" s="509"/>
    </row>
    <row r="69" spans="1:7">
      <c r="A69" s="96"/>
      <c r="B69" s="542"/>
      <c r="C69" s="96"/>
      <c r="D69" s="509"/>
      <c r="E69" s="509"/>
      <c r="F69" s="509"/>
    </row>
    <row r="70" spans="1:7">
      <c r="A70" s="96"/>
      <c r="B70" s="542"/>
      <c r="C70" s="96"/>
      <c r="D70" s="509"/>
      <c r="E70" s="509"/>
      <c r="F70" s="509"/>
    </row>
    <row r="71" spans="1:7" ht="14.45" customHeight="1"/>
    <row r="72" spans="1:7">
      <c r="F72" s="510"/>
    </row>
    <row r="73" spans="1:7" ht="15.75" customHeight="1">
      <c r="B73" s="1068"/>
      <c r="C73" s="1068"/>
      <c r="D73" s="511"/>
      <c r="E73" s="511"/>
    </row>
    <row r="74" spans="1:7" ht="15.75" customHeight="1">
      <c r="A74" s="4311" t="str">
        <f>+'ANEXA 1'!B94</f>
        <v>DIRECTOR  GENERAL,</v>
      </c>
      <c r="B74" s="4311"/>
      <c r="C74" s="511"/>
      <c r="D74" s="4300" t="str">
        <f>+'ANEXA 1'!D94:E94</f>
        <v>DIRECTOR  EXECUTIV  ECONOMIC,</v>
      </c>
      <c r="E74" s="4300"/>
      <c r="F74" s="4300"/>
    </row>
    <row r="75" spans="1:7" ht="15.75" customHeight="1">
      <c r="C75" s="1069"/>
      <c r="D75" s="1621"/>
      <c r="E75" s="1621"/>
      <c r="F75" s="1621"/>
    </row>
    <row r="76" spans="1:7" ht="15.75" customHeight="1">
      <c r="A76" s="4299" t="str">
        <f>+'ANEXA 1'!B96</f>
        <v>EC.ALBU DRINA</v>
      </c>
      <c r="B76" s="4299"/>
      <c r="C76" s="559"/>
      <c r="D76" s="4300" t="str">
        <f>+'ANEXA 1'!D96:E96</f>
        <v>EC.BIRCU FLORINA</v>
      </c>
      <c r="E76" s="4300"/>
      <c r="F76" s="4300"/>
    </row>
    <row r="77" spans="1:7" ht="15.75">
      <c r="A77" s="4393">
        <f>'ANEXA 1'!B97</f>
        <v>0</v>
      </c>
      <c r="B77" s="4393"/>
      <c r="C77" s="306"/>
      <c r="D77" s="306"/>
      <c r="E77" s="306"/>
      <c r="F77" s="306"/>
    </row>
    <row r="78" spans="1:7" ht="15.75" customHeight="1">
      <c r="B78" s="511"/>
      <c r="C78" s="511"/>
      <c r="D78" s="1070">
        <f>'ANEXA 1'!B104</f>
        <v>0</v>
      </c>
      <c r="E78" s="1070"/>
      <c r="F78" s="1070"/>
    </row>
    <row r="79" spans="1:7" ht="15.75">
      <c r="B79" s="306"/>
      <c r="C79" s="306"/>
      <c r="D79" s="312"/>
      <c r="E79" s="312"/>
      <c r="F79" s="312"/>
      <c r="G79" s="512"/>
    </row>
    <row r="80" spans="1:7" ht="15" customHeight="1">
      <c r="B80" s="511"/>
      <c r="C80" s="511"/>
      <c r="D80" s="1071">
        <f>'ANEXA 1'!B106</f>
        <v>0</v>
      </c>
      <c r="E80" s="1071"/>
      <c r="F80" s="1071"/>
    </row>
    <row r="81" spans="1:7" ht="15.75">
      <c r="A81" s="4285">
        <f>+'ANEXA 1'!B99</f>
        <v>0</v>
      </c>
      <c r="B81" s="4285"/>
      <c r="C81" s="511"/>
      <c r="D81" s="4388">
        <f>'ANEXA 1'!D99:E99</f>
        <v>0</v>
      </c>
      <c r="E81" s="4388"/>
      <c r="F81" s="4388"/>
      <c r="G81" s="512"/>
    </row>
    <row r="82" spans="1:7" ht="15.75">
      <c r="A82" s="1619"/>
      <c r="B82" s="1619"/>
      <c r="C82" s="511"/>
      <c r="D82" s="1620"/>
      <c r="E82" s="1620"/>
      <c r="F82" s="1620"/>
    </row>
    <row r="83" spans="1:7" ht="12.75" customHeight="1">
      <c r="A83" s="4286">
        <f>+'ANEXA 1'!B101</f>
        <v>0</v>
      </c>
      <c r="B83" s="4286"/>
      <c r="C83" s="313"/>
      <c r="D83" s="4165">
        <f>'ANEXA 1'!D101:E101</f>
        <v>0</v>
      </c>
      <c r="E83" s="4165"/>
      <c r="F83" s="4165"/>
    </row>
    <row r="84" spans="1:7" ht="15">
      <c r="B84" s="313"/>
      <c r="C84" s="313"/>
      <c r="D84" s="316"/>
      <c r="E84" s="317"/>
      <c r="F84" s="315"/>
    </row>
    <row r="85" spans="1:7" ht="12.75" customHeight="1">
      <c r="B85" s="313"/>
      <c r="C85" s="421"/>
      <c r="D85" s="421"/>
      <c r="E85" s="1067"/>
      <c r="F85" s="1067"/>
    </row>
    <row r="86" spans="1:7">
      <c r="B86" s="313"/>
      <c r="C86" s="421"/>
      <c r="D86" s="421"/>
      <c r="E86" s="313"/>
      <c r="F86" s="313"/>
    </row>
  </sheetData>
  <sheetProtection password="CF1D" sheet="1" objects="1" scenarios="1"/>
  <mergeCells count="36">
    <mergeCell ref="D76:F76"/>
    <mergeCell ref="C15:C16"/>
    <mergeCell ref="D15:D16"/>
    <mergeCell ref="E15:E16"/>
    <mergeCell ref="C56:C58"/>
    <mergeCell ref="F56:F58"/>
    <mergeCell ref="B54:F54"/>
    <mergeCell ref="B40:B42"/>
    <mergeCell ref="C40:C42"/>
    <mergeCell ref="F40:F42"/>
    <mergeCell ref="C59:C61"/>
    <mergeCell ref="C62:C64"/>
    <mergeCell ref="C65:C67"/>
    <mergeCell ref="A1:E1"/>
    <mergeCell ref="B6:F6"/>
    <mergeCell ref="B7:F7"/>
    <mergeCell ref="C13:C14"/>
    <mergeCell ref="D13:D14"/>
    <mergeCell ref="E13:E14"/>
    <mergeCell ref="B8:F8"/>
    <mergeCell ref="D81:F81"/>
    <mergeCell ref="D83:F83"/>
    <mergeCell ref="A74:B74"/>
    <mergeCell ref="D74:F74"/>
    <mergeCell ref="F20:F22"/>
    <mergeCell ref="B38:F38"/>
    <mergeCell ref="A40:A42"/>
    <mergeCell ref="A20:A22"/>
    <mergeCell ref="B20:B22"/>
    <mergeCell ref="C20:C22"/>
    <mergeCell ref="A81:B81"/>
    <mergeCell ref="A83:B83"/>
    <mergeCell ref="A56:A58"/>
    <mergeCell ref="B56:B58"/>
    <mergeCell ref="A77:B77"/>
    <mergeCell ref="A76:B76"/>
  </mergeCells>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5">
    <tabColor rgb="FFC00000"/>
  </sheetPr>
  <dimension ref="A1:P52"/>
  <sheetViews>
    <sheetView showZeros="0" workbookViewId="0">
      <selection activeCell="H20" sqref="H20"/>
    </sheetView>
  </sheetViews>
  <sheetFormatPr defaultColWidth="9.140625" defaultRowHeight="15"/>
  <cols>
    <col min="1" max="1" width="7" style="552" customWidth="1"/>
    <col min="2" max="2" width="29.42578125" style="548" customWidth="1"/>
    <col min="3" max="3" width="6.42578125" style="2447" customWidth="1"/>
    <col min="4" max="4" width="9.42578125" style="548" customWidth="1"/>
    <col min="5" max="5" width="8.28515625" style="548" customWidth="1"/>
    <col min="6" max="6" width="10.42578125" style="548" customWidth="1"/>
    <col min="7" max="7" width="10.85546875" style="548" customWidth="1"/>
    <col min="8" max="8" width="18.28515625" style="548" customWidth="1"/>
    <col min="9" max="9" width="13" style="548" customWidth="1"/>
    <col min="10" max="10" width="9.42578125" style="548" customWidth="1"/>
    <col min="11" max="11" width="9.28515625" style="548" customWidth="1"/>
    <col min="12" max="12" width="8.7109375" style="548" customWidth="1"/>
    <col min="13" max="13" width="16.5703125" style="548" customWidth="1"/>
    <col min="14" max="16384" width="9.140625" style="548"/>
  </cols>
  <sheetData>
    <row r="1" spans="1:13" ht="15.75">
      <c r="A1" s="2462" t="str">
        <f>'ANEXA 1'!A1:E1</f>
        <v>CASA  DE  ASIGURĂRI  DE  SĂNĂTATE MEHEDINTI</v>
      </c>
      <c r="H1" s="549"/>
    </row>
    <row r="2" spans="1:13" ht="13.5" customHeight="1">
      <c r="M2" s="549" t="s">
        <v>1297</v>
      </c>
    </row>
    <row r="3" spans="1:13" ht="15.75">
      <c r="B3" s="4404" t="s">
        <v>2439</v>
      </c>
      <c r="C3" s="4404"/>
      <c r="D3" s="4404"/>
      <c r="E3" s="4404"/>
      <c r="F3" s="4404"/>
      <c r="G3" s="4404"/>
      <c r="H3" s="4404"/>
      <c r="I3" s="4404"/>
      <c r="J3" s="4404"/>
      <c r="K3" s="4404"/>
      <c r="L3" s="4404"/>
      <c r="M3" s="4404"/>
    </row>
    <row r="4" spans="1:13" ht="15.75">
      <c r="B4" s="4404" t="s">
        <v>2177</v>
      </c>
      <c r="C4" s="4404"/>
      <c r="D4" s="4404"/>
      <c r="E4" s="4404"/>
      <c r="F4" s="4404"/>
      <c r="G4" s="4404"/>
      <c r="H4" s="4404"/>
      <c r="I4" s="4404"/>
      <c r="J4" s="4404"/>
      <c r="K4" s="4404"/>
      <c r="L4" s="4404"/>
      <c r="M4" s="4404"/>
    </row>
    <row r="5" spans="1:13" ht="15.75">
      <c r="B5" s="4404" t="str">
        <f>'ANEXA 1'!A12</f>
        <v>la  data  de  30  IUNIE  2023</v>
      </c>
      <c r="C5" s="4404"/>
      <c r="D5" s="4404"/>
      <c r="E5" s="4404"/>
      <c r="F5" s="4404"/>
      <c r="G5" s="4404"/>
      <c r="H5" s="4404"/>
      <c r="I5" s="4404"/>
      <c r="J5" s="4404"/>
      <c r="K5" s="4404"/>
      <c r="L5" s="4404"/>
      <c r="M5" s="4404"/>
    </row>
    <row r="6" spans="1:13">
      <c r="A6" s="2463" t="s">
        <v>1298</v>
      </c>
      <c r="B6" s="550"/>
      <c r="C6" s="2448"/>
      <c r="D6" s="550"/>
      <c r="E6" s="550"/>
      <c r="F6" s="550"/>
      <c r="G6" s="550"/>
      <c r="H6" s="550"/>
      <c r="I6" s="550"/>
      <c r="J6" s="550"/>
      <c r="K6" s="550"/>
      <c r="L6" s="550"/>
      <c r="M6" s="551" t="s">
        <v>271</v>
      </c>
    </row>
    <row r="7" spans="1:13" ht="114.75">
      <c r="A7" s="2441" t="s">
        <v>2432</v>
      </c>
      <c r="B7" s="2442" t="s">
        <v>2310</v>
      </c>
      <c r="C7" s="2450" t="s">
        <v>2433</v>
      </c>
      <c r="D7" s="2443" t="s">
        <v>1299</v>
      </c>
      <c r="E7" s="2443" t="s">
        <v>1300</v>
      </c>
      <c r="F7" s="2443" t="s">
        <v>2435</v>
      </c>
      <c r="G7" s="2443" t="s">
        <v>2434</v>
      </c>
      <c r="H7" s="2443" t="s">
        <v>1301</v>
      </c>
      <c r="I7" s="2443" t="s">
        <v>2437</v>
      </c>
      <c r="J7" s="2443" t="s">
        <v>1302</v>
      </c>
      <c r="K7" s="2443" t="s">
        <v>2289</v>
      </c>
      <c r="L7" s="2443" t="s">
        <v>2290</v>
      </c>
      <c r="M7" s="2451" t="s">
        <v>2436</v>
      </c>
    </row>
    <row r="8" spans="1:13" ht="9.6" customHeight="1">
      <c r="A8" s="2563" t="s">
        <v>92</v>
      </c>
      <c r="B8" s="2564" t="s">
        <v>93</v>
      </c>
      <c r="C8" s="2565"/>
      <c r="D8" s="2564">
        <v>1</v>
      </c>
      <c r="E8" s="2564">
        <v>2</v>
      </c>
      <c r="F8" s="2564">
        <v>3</v>
      </c>
      <c r="G8" s="2564">
        <v>4</v>
      </c>
      <c r="H8" s="2564">
        <v>5</v>
      </c>
      <c r="I8" s="2564">
        <v>6</v>
      </c>
      <c r="J8" s="2564">
        <v>7</v>
      </c>
      <c r="K8" s="2564">
        <v>8</v>
      </c>
      <c r="L8" s="2566">
        <v>9</v>
      </c>
      <c r="M8" s="2567">
        <v>10</v>
      </c>
    </row>
    <row r="9" spans="1:13" ht="25.5">
      <c r="A9" s="2464">
        <v>1</v>
      </c>
      <c r="B9" s="2465" t="s">
        <v>2449</v>
      </c>
      <c r="C9" s="2558">
        <v>1</v>
      </c>
      <c r="D9" s="2559">
        <f t="shared" ref="D9:M9" si="0">+D10+D19</f>
        <v>0</v>
      </c>
      <c r="E9" s="2559">
        <f t="shared" si="0"/>
        <v>0</v>
      </c>
      <c r="F9" s="2559">
        <f t="shared" si="0"/>
        <v>0</v>
      </c>
      <c r="G9" s="2559">
        <f t="shared" si="0"/>
        <v>0</v>
      </c>
      <c r="H9" s="2560">
        <f t="shared" si="0"/>
        <v>0</v>
      </c>
      <c r="I9" s="2561">
        <f t="shared" si="0"/>
        <v>0</v>
      </c>
      <c r="J9" s="2560">
        <f t="shared" si="0"/>
        <v>0</v>
      </c>
      <c r="K9" s="2559">
        <f t="shared" si="0"/>
        <v>0</v>
      </c>
      <c r="L9" s="2559">
        <f t="shared" si="0"/>
        <v>0</v>
      </c>
      <c r="M9" s="2562">
        <f t="shared" si="0"/>
        <v>0</v>
      </c>
    </row>
    <row r="10" spans="1:13" ht="25.5">
      <c r="A10" s="2428">
        <f t="shared" ref="A10:A27" si="1">+A9+1</f>
        <v>2</v>
      </c>
      <c r="B10" s="2423" t="s">
        <v>2193</v>
      </c>
      <c r="C10" s="2444">
        <v>2</v>
      </c>
      <c r="D10" s="2420">
        <f>SUM(D11:D18)</f>
        <v>0</v>
      </c>
      <c r="E10" s="2420">
        <f t="shared" ref="E10:M10" si="2">SUM(E11:E18)</f>
        <v>0</v>
      </c>
      <c r="F10" s="2420">
        <f t="shared" si="2"/>
        <v>0</v>
      </c>
      <c r="G10" s="2420">
        <f t="shared" si="2"/>
        <v>0</v>
      </c>
      <c r="H10" s="2420">
        <f t="shared" si="2"/>
        <v>0</v>
      </c>
      <c r="I10" s="2420">
        <f t="shared" si="2"/>
        <v>0</v>
      </c>
      <c r="J10" s="2420">
        <f t="shared" si="2"/>
        <v>0</v>
      </c>
      <c r="K10" s="2420">
        <f t="shared" si="2"/>
        <v>0</v>
      </c>
      <c r="L10" s="2420">
        <f t="shared" si="2"/>
        <v>0</v>
      </c>
      <c r="M10" s="2438">
        <f t="shared" si="2"/>
        <v>0</v>
      </c>
    </row>
    <row r="11" spans="1:13">
      <c r="A11" s="2428">
        <f t="shared" si="1"/>
        <v>3</v>
      </c>
      <c r="B11" s="2423" t="s">
        <v>2440</v>
      </c>
      <c r="C11" s="2444">
        <v>3</v>
      </c>
      <c r="D11" s="2420"/>
      <c r="E11" s="2424"/>
      <c r="F11" s="2424"/>
      <c r="G11" s="2424"/>
      <c r="H11" s="2425"/>
      <c r="I11" s="2424"/>
      <c r="J11" s="2424"/>
      <c r="K11" s="2424"/>
      <c r="L11" s="2424"/>
      <c r="M11" s="2439"/>
    </row>
    <row r="12" spans="1:13">
      <c r="A12" s="2428">
        <f t="shared" si="1"/>
        <v>4</v>
      </c>
      <c r="B12" s="2423" t="s">
        <v>2441</v>
      </c>
      <c r="C12" s="2444">
        <v>4</v>
      </c>
      <c r="D12" s="2420"/>
      <c r="E12" s="2424"/>
      <c r="F12" s="2424"/>
      <c r="G12" s="2424"/>
      <c r="H12" s="2426"/>
      <c r="I12" s="2424"/>
      <c r="J12" s="2424"/>
      <c r="K12" s="2424"/>
      <c r="L12" s="2424"/>
      <c r="M12" s="2439"/>
    </row>
    <row r="13" spans="1:13">
      <c r="A13" s="2428">
        <f t="shared" si="1"/>
        <v>5</v>
      </c>
      <c r="B13" s="2423" t="s">
        <v>2442</v>
      </c>
      <c r="C13" s="2444">
        <v>5</v>
      </c>
      <c r="D13" s="2420"/>
      <c r="E13" s="2424"/>
      <c r="F13" s="2424"/>
      <c r="G13" s="2424"/>
      <c r="H13" s="2427"/>
      <c r="I13" s="2424"/>
      <c r="J13" s="2424"/>
      <c r="K13" s="2424"/>
      <c r="L13" s="2424"/>
      <c r="M13" s="2439"/>
    </row>
    <row r="14" spans="1:13" ht="25.5">
      <c r="A14" s="2428">
        <f t="shared" si="1"/>
        <v>6</v>
      </c>
      <c r="B14" s="2429" t="s">
        <v>2443</v>
      </c>
      <c r="C14" s="2444">
        <v>6</v>
      </c>
      <c r="D14" s="2420"/>
      <c r="E14" s="2424"/>
      <c r="F14" s="2424"/>
      <c r="G14" s="2424"/>
      <c r="H14" s="2427"/>
      <c r="I14" s="2424"/>
      <c r="J14" s="2424"/>
      <c r="K14" s="2424"/>
      <c r="L14" s="2424"/>
      <c r="M14" s="2439"/>
    </row>
    <row r="15" spans="1:13">
      <c r="A15" s="2428">
        <f t="shared" si="1"/>
        <v>7</v>
      </c>
      <c r="B15" s="2429" t="s">
        <v>2444</v>
      </c>
      <c r="C15" s="2444">
        <v>7</v>
      </c>
      <c r="D15" s="2420"/>
      <c r="E15" s="2424"/>
      <c r="F15" s="2424"/>
      <c r="G15" s="2424"/>
      <c r="H15" s="2427"/>
      <c r="I15" s="2424"/>
      <c r="J15" s="2424"/>
      <c r="K15" s="2424"/>
      <c r="L15" s="2424"/>
      <c r="M15" s="2439"/>
    </row>
    <row r="16" spans="1:13">
      <c r="A16" s="2428">
        <f t="shared" si="1"/>
        <v>8</v>
      </c>
      <c r="B16" s="2429" t="s">
        <v>2445</v>
      </c>
      <c r="C16" s="2444">
        <v>8</v>
      </c>
      <c r="D16" s="2420"/>
      <c r="E16" s="2424"/>
      <c r="F16" s="2424"/>
      <c r="G16" s="2424"/>
      <c r="H16" s="2427"/>
      <c r="I16" s="2424"/>
      <c r="J16" s="2424"/>
      <c r="K16" s="2424"/>
      <c r="L16" s="2424"/>
      <c r="M16" s="2439"/>
    </row>
    <row r="17" spans="1:16">
      <c r="A17" s="2428">
        <f t="shared" si="1"/>
        <v>9</v>
      </c>
      <c r="B17" s="2423" t="s">
        <v>2446</v>
      </c>
      <c r="C17" s="2444">
        <v>9</v>
      </c>
      <c r="D17" s="2420"/>
      <c r="E17" s="2424"/>
      <c r="F17" s="2424"/>
      <c r="G17" s="2424"/>
      <c r="H17" s="2427"/>
      <c r="I17" s="2424"/>
      <c r="J17" s="2424"/>
      <c r="K17" s="2424"/>
      <c r="L17" s="2424"/>
      <c r="M17" s="2439"/>
    </row>
    <row r="18" spans="1:16" ht="18" customHeight="1">
      <c r="A18" s="2428">
        <f t="shared" si="1"/>
        <v>10</v>
      </c>
      <c r="B18" s="2423" t="s">
        <v>2447</v>
      </c>
      <c r="C18" s="2444">
        <v>10</v>
      </c>
      <c r="D18" s="2420"/>
      <c r="E18" s="2424"/>
      <c r="F18" s="2424"/>
      <c r="G18" s="2424"/>
      <c r="H18" s="2425"/>
      <c r="I18" s="2424"/>
      <c r="J18" s="2424"/>
      <c r="K18" s="2424"/>
      <c r="L18" s="2424"/>
      <c r="M18" s="2439"/>
    </row>
    <row r="19" spans="1:16" s="552" customFormat="1" ht="25.5">
      <c r="A19" s="2428">
        <f t="shared" si="1"/>
        <v>11</v>
      </c>
      <c r="B19" s="2419" t="s">
        <v>2448</v>
      </c>
      <c r="C19" s="2444">
        <v>11</v>
      </c>
      <c r="D19" s="2420">
        <f>SUM(D20:D27)</f>
        <v>0</v>
      </c>
      <c r="E19" s="2420">
        <f t="shared" ref="E19:M19" si="3">SUM(E20:E27)</f>
        <v>0</v>
      </c>
      <c r="F19" s="2420">
        <f t="shared" si="3"/>
        <v>0</v>
      </c>
      <c r="G19" s="2420">
        <f t="shared" si="3"/>
        <v>0</v>
      </c>
      <c r="H19" s="2421">
        <f t="shared" si="3"/>
        <v>0</v>
      </c>
      <c r="I19" s="2422">
        <f t="shared" si="3"/>
        <v>0</v>
      </c>
      <c r="J19" s="2430">
        <f t="shared" si="3"/>
        <v>0</v>
      </c>
      <c r="K19" s="2420">
        <f t="shared" si="3"/>
        <v>0</v>
      </c>
      <c r="L19" s="2420">
        <f t="shared" si="3"/>
        <v>0</v>
      </c>
      <c r="M19" s="2438">
        <f t="shared" si="3"/>
        <v>0</v>
      </c>
    </row>
    <row r="20" spans="1:16" s="552" customFormat="1">
      <c r="A20" s="2428">
        <f t="shared" si="1"/>
        <v>12</v>
      </c>
      <c r="B20" s="2423" t="s">
        <v>2440</v>
      </c>
      <c r="C20" s="2444">
        <v>12</v>
      </c>
      <c r="D20" s="2420"/>
      <c r="E20" s="2424"/>
      <c r="F20" s="2424"/>
      <c r="G20" s="2424"/>
      <c r="H20" s="2425"/>
      <c r="I20" s="2424"/>
      <c r="J20" s="2424"/>
      <c r="K20" s="2424"/>
      <c r="L20" s="2424"/>
      <c r="M20" s="2439"/>
    </row>
    <row r="21" spans="1:16" s="552" customFormat="1">
      <c r="A21" s="2428">
        <f t="shared" si="1"/>
        <v>13</v>
      </c>
      <c r="B21" s="2423" t="s">
        <v>2438</v>
      </c>
      <c r="C21" s="2444">
        <v>13</v>
      </c>
      <c r="D21" s="2420"/>
      <c r="E21" s="2424"/>
      <c r="F21" s="2424"/>
      <c r="G21" s="2424"/>
      <c r="H21" s="2425"/>
      <c r="I21" s="2424"/>
      <c r="J21" s="2424"/>
      <c r="K21" s="2424"/>
      <c r="L21" s="2424"/>
      <c r="M21" s="2439"/>
    </row>
    <row r="22" spans="1:16" s="552" customFormat="1">
      <c r="A22" s="2428">
        <f t="shared" si="1"/>
        <v>14</v>
      </c>
      <c r="B22" s="2423" t="s">
        <v>2442</v>
      </c>
      <c r="C22" s="2444">
        <v>14</v>
      </c>
      <c r="D22" s="2420"/>
      <c r="E22" s="2424"/>
      <c r="F22" s="2424"/>
      <c r="G22" s="2424"/>
      <c r="H22" s="2425"/>
      <c r="I22" s="2424"/>
      <c r="J22" s="2424"/>
      <c r="K22" s="2424"/>
      <c r="L22" s="2424"/>
      <c r="M22" s="2439"/>
    </row>
    <row r="23" spans="1:16" s="552" customFormat="1" ht="25.5">
      <c r="A23" s="2428">
        <f t="shared" si="1"/>
        <v>15</v>
      </c>
      <c r="B23" s="2429" t="s">
        <v>2443</v>
      </c>
      <c r="C23" s="2444">
        <v>15</v>
      </c>
      <c r="D23" s="2420"/>
      <c r="E23" s="2424"/>
      <c r="F23" s="2424"/>
      <c r="G23" s="2424"/>
      <c r="H23" s="2425"/>
      <c r="I23" s="2424"/>
      <c r="J23" s="2424"/>
      <c r="K23" s="2424"/>
      <c r="L23" s="2424"/>
      <c r="M23" s="2439"/>
    </row>
    <row r="24" spans="1:16" s="552" customFormat="1">
      <c r="A24" s="2428">
        <f t="shared" si="1"/>
        <v>16</v>
      </c>
      <c r="B24" s="2429" t="s">
        <v>2444</v>
      </c>
      <c r="C24" s="2444">
        <v>16</v>
      </c>
      <c r="D24" s="2420"/>
      <c r="E24" s="2424"/>
      <c r="F24" s="2424"/>
      <c r="G24" s="2424"/>
      <c r="H24" s="2425"/>
      <c r="I24" s="2424"/>
      <c r="J24" s="2424"/>
      <c r="K24" s="2424"/>
      <c r="L24" s="2424"/>
      <c r="M24" s="2439"/>
    </row>
    <row r="25" spans="1:16" s="552" customFormat="1">
      <c r="A25" s="2428">
        <f t="shared" si="1"/>
        <v>17</v>
      </c>
      <c r="B25" s="2429" t="s">
        <v>2445</v>
      </c>
      <c r="C25" s="2444">
        <v>17</v>
      </c>
      <c r="D25" s="2420"/>
      <c r="E25" s="2424"/>
      <c r="F25" s="2424"/>
      <c r="G25" s="2424"/>
      <c r="H25" s="2425"/>
      <c r="I25" s="2424"/>
      <c r="J25" s="2424"/>
      <c r="K25" s="2424"/>
      <c r="L25" s="2424"/>
      <c r="M25" s="2439"/>
    </row>
    <row r="26" spans="1:16" s="552" customFormat="1">
      <c r="A26" s="2428">
        <f t="shared" si="1"/>
        <v>18</v>
      </c>
      <c r="B26" s="2423" t="s">
        <v>2446</v>
      </c>
      <c r="C26" s="2444">
        <v>18</v>
      </c>
      <c r="D26" s="2420"/>
      <c r="E26" s="2424"/>
      <c r="F26" s="2424"/>
      <c r="G26" s="2424"/>
      <c r="H26" s="2425"/>
      <c r="I26" s="2424"/>
      <c r="J26" s="2424"/>
      <c r="K26" s="2424"/>
      <c r="L26" s="2424"/>
      <c r="M26" s="2439"/>
    </row>
    <row r="27" spans="1:16" s="552" customFormat="1">
      <c r="A27" s="2431">
        <f t="shared" si="1"/>
        <v>19</v>
      </c>
      <c r="B27" s="2432" t="s">
        <v>2447</v>
      </c>
      <c r="C27" s="2445">
        <v>19</v>
      </c>
      <c r="D27" s="2433"/>
      <c r="E27" s="2434"/>
      <c r="F27" s="2434"/>
      <c r="G27" s="2434"/>
      <c r="H27" s="2435"/>
      <c r="I27" s="2436"/>
      <c r="J27" s="2437"/>
      <c r="K27" s="2434"/>
      <c r="L27" s="2434"/>
      <c r="M27" s="2440"/>
      <c r="N27" s="553"/>
      <c r="O27" s="553"/>
      <c r="P27" s="553"/>
    </row>
    <row r="28" spans="1:16" s="552" customFormat="1" ht="25.5">
      <c r="A28" s="2464">
        <f>A27+1</f>
        <v>20</v>
      </c>
      <c r="B28" s="2465" t="s">
        <v>2450</v>
      </c>
      <c r="C28" s="2466">
        <f>C27+1</f>
        <v>20</v>
      </c>
      <c r="D28" s="2420">
        <f>SUM(D29:D36)</f>
        <v>0</v>
      </c>
      <c r="E28" s="2467">
        <f t="shared" ref="E28:M28" si="4">SUM(E29:E36)</f>
        <v>0</v>
      </c>
      <c r="F28" s="2467">
        <f t="shared" si="4"/>
        <v>0</v>
      </c>
      <c r="G28" s="2467">
        <f t="shared" si="4"/>
        <v>0</v>
      </c>
      <c r="H28" s="2468">
        <f t="shared" si="4"/>
        <v>0</v>
      </c>
      <c r="I28" s="2469">
        <f t="shared" si="4"/>
        <v>0</v>
      </c>
      <c r="J28" s="2470">
        <f t="shared" si="4"/>
        <v>0</v>
      </c>
      <c r="K28" s="2467">
        <f t="shared" si="4"/>
        <v>0</v>
      </c>
      <c r="L28" s="2467">
        <f t="shared" si="4"/>
        <v>0</v>
      </c>
      <c r="M28" s="2471">
        <f t="shared" si="4"/>
        <v>0</v>
      </c>
      <c r="N28" s="553"/>
      <c r="O28" s="553"/>
      <c r="P28" s="553"/>
    </row>
    <row r="29" spans="1:16" s="552" customFormat="1">
      <c r="A29" s="2428">
        <f t="shared" ref="A29:C36" si="5">A28+1</f>
        <v>21</v>
      </c>
      <c r="B29" s="2423" t="s">
        <v>2440</v>
      </c>
      <c r="C29" s="2460">
        <f t="shared" si="5"/>
        <v>21</v>
      </c>
      <c r="D29" s="2458"/>
      <c r="E29" s="2424"/>
      <c r="F29" s="2424"/>
      <c r="G29" s="2424"/>
      <c r="H29" s="2425"/>
      <c r="I29" s="2459"/>
      <c r="J29" s="2426"/>
      <c r="K29" s="2424"/>
      <c r="L29" s="2424"/>
      <c r="M29" s="2439"/>
      <c r="N29" s="553"/>
      <c r="O29" s="553"/>
      <c r="P29" s="553"/>
    </row>
    <row r="30" spans="1:16" s="552" customFormat="1">
      <c r="A30" s="2428">
        <f t="shared" si="5"/>
        <v>22</v>
      </c>
      <c r="B30" s="2423" t="s">
        <v>2438</v>
      </c>
      <c r="C30" s="2460">
        <f t="shared" si="5"/>
        <v>22</v>
      </c>
      <c r="D30" s="2458"/>
      <c r="E30" s="2424"/>
      <c r="F30" s="2424"/>
      <c r="G30" s="2424"/>
      <c r="H30" s="2425"/>
      <c r="I30" s="2459"/>
      <c r="J30" s="2426"/>
      <c r="K30" s="2424"/>
      <c r="L30" s="2424"/>
      <c r="M30" s="2439"/>
      <c r="N30" s="553"/>
      <c r="O30" s="553"/>
      <c r="P30" s="553"/>
    </row>
    <row r="31" spans="1:16" s="552" customFormat="1">
      <c r="A31" s="2428">
        <f t="shared" si="5"/>
        <v>23</v>
      </c>
      <c r="B31" s="2423" t="s">
        <v>2442</v>
      </c>
      <c r="C31" s="2460">
        <f t="shared" si="5"/>
        <v>23</v>
      </c>
      <c r="D31" s="2458"/>
      <c r="E31" s="2424"/>
      <c r="F31" s="2424"/>
      <c r="G31" s="2424"/>
      <c r="H31" s="2425"/>
      <c r="I31" s="2459"/>
      <c r="J31" s="2426"/>
      <c r="K31" s="2424"/>
      <c r="L31" s="2424"/>
      <c r="M31" s="2439"/>
      <c r="N31" s="553"/>
      <c r="O31" s="553"/>
      <c r="P31" s="553"/>
    </row>
    <row r="32" spans="1:16" s="552" customFormat="1" ht="25.5">
      <c r="A32" s="2428">
        <f t="shared" si="5"/>
        <v>24</v>
      </c>
      <c r="B32" s="2429" t="s">
        <v>2443</v>
      </c>
      <c r="C32" s="2460">
        <f t="shared" si="5"/>
        <v>24</v>
      </c>
      <c r="D32" s="2458"/>
      <c r="E32" s="2424"/>
      <c r="F32" s="2424"/>
      <c r="G32" s="2424"/>
      <c r="H32" s="2425"/>
      <c r="I32" s="2459"/>
      <c r="J32" s="2426"/>
      <c r="K32" s="2424"/>
      <c r="L32" s="2424"/>
      <c r="M32" s="2439"/>
      <c r="N32" s="553"/>
      <c r="O32" s="553"/>
      <c r="P32" s="553"/>
    </row>
    <row r="33" spans="1:16" s="552" customFormat="1">
      <c r="A33" s="2428">
        <f t="shared" si="5"/>
        <v>25</v>
      </c>
      <c r="B33" s="2429" t="s">
        <v>2444</v>
      </c>
      <c r="C33" s="2460">
        <f t="shared" si="5"/>
        <v>25</v>
      </c>
      <c r="D33" s="2458"/>
      <c r="E33" s="2424"/>
      <c r="F33" s="2424"/>
      <c r="G33" s="2424"/>
      <c r="H33" s="2425"/>
      <c r="I33" s="2459"/>
      <c r="J33" s="2426"/>
      <c r="K33" s="2424"/>
      <c r="L33" s="2424"/>
      <c r="M33" s="2439"/>
      <c r="N33" s="553"/>
      <c r="O33" s="553"/>
      <c r="P33" s="553"/>
    </row>
    <row r="34" spans="1:16" s="552" customFormat="1">
      <c r="A34" s="2428">
        <f t="shared" si="5"/>
        <v>26</v>
      </c>
      <c r="B34" s="2429" t="s">
        <v>2445</v>
      </c>
      <c r="C34" s="2460">
        <f t="shared" si="5"/>
        <v>26</v>
      </c>
      <c r="D34" s="2458"/>
      <c r="E34" s="2424"/>
      <c r="F34" s="2424"/>
      <c r="G34" s="2424"/>
      <c r="H34" s="2425"/>
      <c r="I34" s="2459"/>
      <c r="J34" s="2426"/>
      <c r="K34" s="2424"/>
      <c r="L34" s="2424"/>
      <c r="M34" s="2439"/>
      <c r="N34" s="553"/>
      <c r="O34" s="553"/>
      <c r="P34" s="553"/>
    </row>
    <row r="35" spans="1:16" s="552" customFormat="1">
      <c r="A35" s="2428">
        <f t="shared" si="5"/>
        <v>27</v>
      </c>
      <c r="B35" s="2423" t="s">
        <v>2446</v>
      </c>
      <c r="C35" s="2460">
        <f t="shared" si="5"/>
        <v>27</v>
      </c>
      <c r="D35" s="2458"/>
      <c r="E35" s="2424"/>
      <c r="F35" s="2424"/>
      <c r="G35" s="2424"/>
      <c r="H35" s="2425"/>
      <c r="I35" s="2459"/>
      <c r="J35" s="2426"/>
      <c r="K35" s="2424"/>
      <c r="L35" s="2424"/>
      <c r="M35" s="2439"/>
      <c r="N35" s="553"/>
      <c r="O35" s="553"/>
      <c r="P35" s="553"/>
    </row>
    <row r="36" spans="1:16" s="552" customFormat="1">
      <c r="A36" s="2431">
        <f t="shared" si="5"/>
        <v>28</v>
      </c>
      <c r="B36" s="2432" t="s">
        <v>2447</v>
      </c>
      <c r="C36" s="2461">
        <f t="shared" si="5"/>
        <v>28</v>
      </c>
      <c r="D36" s="2433"/>
      <c r="E36" s="2434"/>
      <c r="F36" s="2434"/>
      <c r="G36" s="2434"/>
      <c r="H36" s="2435"/>
      <c r="I36" s="2436"/>
      <c r="J36" s="2437"/>
      <c r="K36" s="2434"/>
      <c r="L36" s="2434"/>
      <c r="M36" s="2440"/>
      <c r="N36" s="553"/>
      <c r="O36" s="553"/>
      <c r="P36" s="553"/>
    </row>
    <row r="37" spans="1:16" s="552" customFormat="1">
      <c r="A37" s="554"/>
      <c r="B37" s="2452"/>
      <c r="C37" s="554"/>
      <c r="D37" s="2453"/>
      <c r="E37" s="2454"/>
      <c r="F37" s="2454"/>
      <c r="G37" s="2454"/>
      <c r="H37" s="2455"/>
      <c r="I37" s="2456"/>
      <c r="J37" s="2457"/>
      <c r="K37" s="2454"/>
      <c r="L37" s="2454"/>
      <c r="M37" s="2454"/>
      <c r="N37" s="553"/>
      <c r="O37" s="553"/>
      <c r="P37" s="553"/>
    </row>
    <row r="38" spans="1:16" s="552" customFormat="1">
      <c r="A38" s="554"/>
      <c r="B38" s="2452"/>
      <c r="C38" s="554"/>
      <c r="D38" s="2453"/>
      <c r="E38" s="2454"/>
      <c r="F38" s="2454"/>
      <c r="G38" s="2454"/>
      <c r="H38" s="2455"/>
      <c r="I38" s="2456"/>
      <c r="J38" s="2457"/>
      <c r="K38" s="2454"/>
      <c r="L38" s="2454"/>
      <c r="M38" s="2454"/>
      <c r="N38" s="553"/>
      <c r="O38" s="553"/>
      <c r="P38" s="553"/>
    </row>
    <row r="39" spans="1:16" s="552" customFormat="1">
      <c r="A39" s="554"/>
      <c r="B39" s="2452"/>
      <c r="C39" s="554"/>
      <c r="D39" s="2453"/>
      <c r="E39" s="2454"/>
      <c r="F39" s="2454"/>
      <c r="G39" s="2454"/>
      <c r="H39" s="2455"/>
      <c r="I39" s="2456"/>
      <c r="J39" s="2457"/>
      <c r="K39" s="2454"/>
      <c r="L39" s="2454"/>
      <c r="M39" s="2454"/>
      <c r="N39" s="553"/>
      <c r="O39" s="553"/>
      <c r="P39" s="553"/>
    </row>
    <row r="40" spans="1:16" s="552" customFormat="1">
      <c r="A40" s="554"/>
      <c r="B40" s="2452"/>
      <c r="C40" s="554"/>
      <c r="D40" s="2453"/>
      <c r="E40" s="2454"/>
      <c r="F40" s="2454"/>
      <c r="G40" s="2454"/>
      <c r="H40" s="2455"/>
      <c r="I40" s="2456"/>
      <c r="J40" s="2457"/>
      <c r="K40" s="2454"/>
      <c r="L40" s="2454"/>
      <c r="M40" s="2454"/>
      <c r="N40" s="553"/>
      <c r="O40" s="553"/>
      <c r="P40" s="553"/>
    </row>
    <row r="41" spans="1:16" s="552" customFormat="1" ht="20.100000000000001" customHeight="1">
      <c r="A41" s="554"/>
      <c r="B41" s="555"/>
      <c r="C41" s="554"/>
      <c r="D41" s="556"/>
      <c r="E41" s="553"/>
      <c r="F41" s="553"/>
      <c r="G41" s="553"/>
      <c r="H41" s="553"/>
      <c r="I41" s="553"/>
      <c r="J41" s="553"/>
      <c r="K41" s="553"/>
      <c r="L41" s="553"/>
      <c r="M41" s="553"/>
      <c r="N41" s="553"/>
      <c r="O41" s="553"/>
      <c r="P41" s="553"/>
    </row>
    <row r="42" spans="1:16" ht="15.75" customHeight="1">
      <c r="A42" s="553"/>
      <c r="B42" s="4408" t="str">
        <f>'ANEXA 1'!B94</f>
        <v>DIRECTOR  GENERAL,</v>
      </c>
      <c r="C42" s="4148" t="s">
        <v>176</v>
      </c>
      <c r="D42" s="4148" t="s">
        <v>176</v>
      </c>
      <c r="E42" s="4148" t="s">
        <v>176</v>
      </c>
      <c r="F42" s="4148" t="s">
        <v>176</v>
      </c>
      <c r="G42" s="4148" t="s">
        <v>176</v>
      </c>
      <c r="H42" s="550"/>
      <c r="I42" s="550"/>
      <c r="J42" s="4003" t="s">
        <v>177</v>
      </c>
      <c r="K42" s="4003"/>
      <c r="L42" s="4003"/>
      <c r="M42" s="4003"/>
      <c r="N42" s="550"/>
      <c r="O42" s="550"/>
      <c r="P42" s="550"/>
    </row>
    <row r="43" spans="1:16" ht="12.6" customHeight="1">
      <c r="J43" s="1874"/>
      <c r="K43" s="1874"/>
      <c r="L43" s="1874"/>
      <c r="M43" s="1874"/>
    </row>
    <row r="44" spans="1:16" ht="15.75" customHeight="1">
      <c r="B44" s="4406" t="str">
        <f>+'ANEXA 1'!B96</f>
        <v>EC.ALBU DRINA</v>
      </c>
      <c r="C44" s="4406"/>
      <c r="D44" s="4406"/>
      <c r="E44" s="4406"/>
      <c r="F44" s="4406"/>
      <c r="G44" s="4406"/>
      <c r="J44" s="4407" t="str">
        <f>+'ANEXA 1'!D96</f>
        <v>EC.BIRCU FLORINA</v>
      </c>
      <c r="K44" s="4407"/>
      <c r="L44" s="4407"/>
      <c r="M44" s="4407"/>
    </row>
    <row r="45" spans="1:16">
      <c r="B45" s="4405">
        <f>+'ANEXA 1'!B97</f>
        <v>0</v>
      </c>
      <c r="C45" s="4405"/>
      <c r="D45" s="4405"/>
      <c r="E45" s="4405"/>
      <c r="F45" s="4405"/>
      <c r="G45" s="4405"/>
    </row>
    <row r="46" spans="1:16" ht="10.9" customHeight="1">
      <c r="B46" s="1908"/>
      <c r="C46" s="2446"/>
      <c r="D46" s="1908"/>
      <c r="E46" s="1908"/>
      <c r="F46" s="1908"/>
      <c r="G46" s="1908"/>
    </row>
    <row r="47" spans="1:16" ht="15.75">
      <c r="B47" s="4410">
        <f>+'ANEXA 1'!B99</f>
        <v>0</v>
      </c>
      <c r="C47" s="4403"/>
      <c r="D47" s="4403"/>
      <c r="E47" s="4403"/>
      <c r="F47" s="4403"/>
      <c r="G47" s="4403"/>
      <c r="J47" s="4409">
        <f>'ANEXA 1'!D99</f>
        <v>0</v>
      </c>
      <c r="K47" s="4409"/>
      <c r="L47" s="4409"/>
      <c r="M47" s="4409"/>
    </row>
    <row r="48" spans="1:16" ht="12" customHeight="1">
      <c r="B48" s="1631"/>
      <c r="C48" s="2449"/>
      <c r="D48" s="1631"/>
      <c r="E48" s="1631"/>
      <c r="F48" s="1631"/>
      <c r="G48" s="1631"/>
    </row>
    <row r="49" spans="2:13" ht="15.75">
      <c r="B49" s="4403">
        <f>+'ANEXA 1'!B101</f>
        <v>0</v>
      </c>
      <c r="C49" s="4403"/>
      <c r="D49" s="4403"/>
      <c r="E49" s="4403"/>
      <c r="F49" s="4403"/>
      <c r="G49" s="4403"/>
      <c r="J49" s="4409">
        <f>'ANEXA 1'!D101</f>
        <v>0</v>
      </c>
      <c r="K49" s="4409"/>
      <c r="L49" s="4409"/>
      <c r="M49" s="4409"/>
    </row>
    <row r="52" spans="2:13">
      <c r="L52" s="1462"/>
      <c r="M52" s="1462"/>
    </row>
  </sheetData>
  <sheetProtection password="CFDD" sheet="1" objects="1" scenarios="1"/>
  <mergeCells count="12">
    <mergeCell ref="B49:G49"/>
    <mergeCell ref="B3:M3"/>
    <mergeCell ref="B4:M4"/>
    <mergeCell ref="B5:M5"/>
    <mergeCell ref="B45:G45"/>
    <mergeCell ref="B44:G44"/>
    <mergeCell ref="J44:M44"/>
    <mergeCell ref="B42:G42"/>
    <mergeCell ref="J42:M42"/>
    <mergeCell ref="J47:M47"/>
    <mergeCell ref="J49:M49"/>
    <mergeCell ref="B47:G47"/>
  </mergeCells>
  <phoneticPr fontId="0" type="noConversion"/>
  <printOptions horizontalCentered="1"/>
  <pageMargins left="0.19685039370078741" right="0" top="0.27559055118110237" bottom="0.23622047244094491" header="0.51181102362204722" footer="0.51181102362204722"/>
  <pageSetup paperSize="9" scale="90" firstPageNumber="0" orientation="landscape" horizontalDpi="300" verticalDpi="300" r:id="rId1"/>
  <headerFooter alignWithMargins="0">
    <oddFooter>&amp;A&amp;RPagina &amp;P</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
    <tabColor rgb="FFF2DCDB"/>
  </sheetPr>
  <dimension ref="A1:CB40"/>
  <sheetViews>
    <sheetView showZeros="0" topLeftCell="A25" workbookViewId="0">
      <selection activeCell="C25" sqref="C25"/>
    </sheetView>
  </sheetViews>
  <sheetFormatPr defaultColWidth="9.140625" defaultRowHeight="12.75"/>
  <cols>
    <col min="1" max="1" width="42" style="48" customWidth="1"/>
    <col min="2" max="2" width="5.28515625" style="48" customWidth="1"/>
    <col min="3" max="3" width="16" style="48" customWidth="1"/>
    <col min="4" max="4" width="11.5703125" style="48" customWidth="1"/>
    <col min="5" max="5" width="4.7109375" style="48" customWidth="1"/>
    <col min="6" max="6" width="4.28515625" style="48" customWidth="1"/>
    <col min="7" max="7" width="7.7109375" style="48" customWidth="1"/>
    <col min="8" max="8" width="6.42578125" style="48" customWidth="1"/>
    <col min="9" max="9" width="15.42578125" style="48" customWidth="1"/>
    <col min="10" max="11" width="6" style="48" customWidth="1"/>
    <col min="12" max="12" width="5.7109375" style="48" customWidth="1"/>
    <col min="13" max="13" width="5.28515625" style="48" customWidth="1"/>
    <col min="14" max="14" width="6.5703125" style="48" customWidth="1"/>
    <col min="15" max="15" width="6.7109375" style="48" customWidth="1"/>
    <col min="16" max="16" width="11.140625" style="48" customWidth="1"/>
    <col min="17" max="17" width="11.5703125" style="48" customWidth="1"/>
    <col min="18" max="80" width="9.140625" style="69"/>
    <col min="81" max="16384" width="9.140625" style="48"/>
  </cols>
  <sheetData>
    <row r="1" spans="1:80" ht="15">
      <c r="A1" s="3989" t="str">
        <f>'ANEXA 1'!A1</f>
        <v>CASA  DE  ASIGURĂRI  DE  SĂNĂTATE MEHEDINTI</v>
      </c>
      <c r="B1" s="3989"/>
      <c r="C1" s="3989"/>
      <c r="D1" s="3989"/>
      <c r="E1" s="3989"/>
      <c r="K1" s="4008"/>
      <c r="L1" s="4008"/>
      <c r="M1" s="4008"/>
      <c r="N1" s="4008"/>
      <c r="O1" s="4008"/>
      <c r="P1" s="4008"/>
      <c r="Q1" s="4008"/>
    </row>
    <row r="2" spans="1:80">
      <c r="B2" s="70"/>
      <c r="C2" s="71"/>
    </row>
    <row r="3" spans="1:80">
      <c r="B3" s="70"/>
      <c r="C3" s="71"/>
    </row>
    <row r="4" spans="1:80">
      <c r="B4" s="70"/>
      <c r="C4" s="71"/>
    </row>
    <row r="5" spans="1:80">
      <c r="A5" s="4008" t="s">
        <v>2175</v>
      </c>
      <c r="B5" s="4008"/>
      <c r="C5" s="4008"/>
      <c r="D5" s="4008"/>
      <c r="E5" s="4008"/>
      <c r="F5" s="4008"/>
      <c r="G5" s="4008"/>
      <c r="H5" s="4008"/>
      <c r="I5" s="4008"/>
      <c r="J5" s="4008"/>
      <c r="K5" s="4008"/>
      <c r="L5" s="4008"/>
      <c r="M5" s="4008"/>
      <c r="N5" s="4008"/>
      <c r="O5" s="4008"/>
      <c r="P5" s="4008"/>
      <c r="Q5" s="4008"/>
    </row>
    <row r="6" spans="1:80">
      <c r="A6" s="4012" t="str">
        <f>'ANEXA 1'!A12</f>
        <v>la  data  de  30  IUNIE  2023</v>
      </c>
      <c r="B6" s="4012"/>
      <c r="C6" s="4012"/>
      <c r="D6" s="4012"/>
      <c r="E6" s="4012"/>
      <c r="F6" s="4012"/>
      <c r="G6" s="4012"/>
      <c r="H6" s="4012"/>
      <c r="I6" s="4012"/>
      <c r="J6" s="4012"/>
      <c r="K6" s="4012"/>
      <c r="L6" s="4012"/>
      <c r="M6" s="4012"/>
      <c r="N6" s="4012"/>
      <c r="O6" s="4012"/>
      <c r="P6" s="4012"/>
      <c r="Q6" s="4012"/>
    </row>
    <row r="7" spans="1:80">
      <c r="A7" s="72" t="s">
        <v>228</v>
      </c>
      <c r="B7" s="70"/>
      <c r="C7" s="71"/>
      <c r="J7" s="73"/>
      <c r="K7" s="73"/>
      <c r="L7" s="73"/>
      <c r="M7" s="73"/>
      <c r="N7" s="73"/>
      <c r="O7" s="73"/>
      <c r="P7" s="73"/>
      <c r="Q7" s="73" t="s">
        <v>229</v>
      </c>
    </row>
    <row r="8" spans="1:80" ht="126" customHeight="1">
      <c r="A8" s="1307" t="s">
        <v>181</v>
      </c>
      <c r="B8" s="1308" t="s">
        <v>230</v>
      </c>
      <c r="C8" s="1309" t="s">
        <v>231</v>
      </c>
      <c r="D8" s="1310" t="s">
        <v>232</v>
      </c>
      <c r="E8" s="1311" t="s">
        <v>233</v>
      </c>
      <c r="F8" s="1311" t="s">
        <v>234</v>
      </c>
      <c r="G8" s="1311" t="s">
        <v>235</v>
      </c>
      <c r="H8" s="1311" t="s">
        <v>236</v>
      </c>
      <c r="I8" s="1861" t="s">
        <v>237</v>
      </c>
      <c r="J8" s="1311" t="s">
        <v>238</v>
      </c>
      <c r="K8" s="1311" t="s">
        <v>239</v>
      </c>
      <c r="L8" s="1311" t="s">
        <v>240</v>
      </c>
      <c r="M8" s="1311" t="s">
        <v>241</v>
      </c>
      <c r="N8" s="1311" t="s">
        <v>242</v>
      </c>
      <c r="O8" s="1311" t="s">
        <v>1962</v>
      </c>
      <c r="P8" s="1311" t="s">
        <v>1963</v>
      </c>
      <c r="Q8" s="1312" t="s">
        <v>2195</v>
      </c>
    </row>
    <row r="9" spans="1:80">
      <c r="A9" s="1316" t="s">
        <v>92</v>
      </c>
      <c r="B9" s="1317" t="s">
        <v>93</v>
      </c>
      <c r="C9" s="1318" t="s">
        <v>243</v>
      </c>
      <c r="D9" s="1319">
        <v>2</v>
      </c>
      <c r="E9" s="1319">
        <v>3</v>
      </c>
      <c r="F9" s="1319">
        <v>4</v>
      </c>
      <c r="G9" s="1319">
        <v>5</v>
      </c>
      <c r="H9" s="1319">
        <v>6</v>
      </c>
      <c r="I9" s="1319">
        <v>7</v>
      </c>
      <c r="J9" s="1319">
        <v>8</v>
      </c>
      <c r="K9" s="1319">
        <v>9</v>
      </c>
      <c r="L9" s="1319">
        <v>10</v>
      </c>
      <c r="M9" s="1319">
        <v>11</v>
      </c>
      <c r="N9" s="1319">
        <v>12</v>
      </c>
      <c r="O9" s="1319">
        <v>13</v>
      </c>
      <c r="P9" s="1319">
        <v>14</v>
      </c>
      <c r="Q9" s="1320">
        <v>15</v>
      </c>
    </row>
    <row r="10" spans="1:80" s="75" customFormat="1" ht="30.6" customHeight="1">
      <c r="A10" s="674" t="s">
        <v>244</v>
      </c>
      <c r="B10" s="675">
        <v>1</v>
      </c>
      <c r="C10" s="1313"/>
      <c r="D10" s="1314"/>
      <c r="E10" s="1314"/>
      <c r="F10" s="1314"/>
      <c r="G10" s="1314"/>
      <c r="H10" s="1314"/>
      <c r="I10" s="1314"/>
      <c r="J10" s="1314"/>
      <c r="K10" s="1314"/>
      <c r="L10" s="1314"/>
      <c r="M10" s="1314"/>
      <c r="N10" s="1314"/>
      <c r="O10" s="1314"/>
      <c r="P10" s="1314"/>
      <c r="Q10" s="1315"/>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80" ht="20.25" customHeight="1">
      <c r="A11" s="679" t="s">
        <v>245</v>
      </c>
      <c r="B11" s="680">
        <v>2</v>
      </c>
      <c r="C11" s="76">
        <f>SUM(D11:Q11)</f>
        <v>128680592</v>
      </c>
      <c r="D11" s="79">
        <f>+DISPONIBILITATI!C9</f>
        <v>440263</v>
      </c>
      <c r="E11" s="2097"/>
      <c r="F11" s="79"/>
      <c r="G11" s="79"/>
      <c r="H11" s="79"/>
      <c r="I11" s="79">
        <f>+'VENITURI '!C9</f>
        <v>128174630</v>
      </c>
      <c r="J11" s="79"/>
      <c r="K11" s="79"/>
      <c r="L11" s="79"/>
      <c r="M11" s="79"/>
      <c r="N11" s="79"/>
      <c r="O11" s="79"/>
      <c r="P11" s="1304"/>
      <c r="Q11" s="80">
        <f>+DISPONIBILITATI!D9+DISPONIBILITATI!E9+DISPONIBILITATI!F9+DISPONIBILITATI!H9</f>
        <v>65699</v>
      </c>
    </row>
    <row r="12" spans="1:80" ht="22.5" customHeight="1">
      <c r="A12" s="679" t="s">
        <v>246</v>
      </c>
      <c r="B12" s="680">
        <v>3</v>
      </c>
      <c r="C12" s="76">
        <f>SUM(D12:Q12)</f>
        <v>240241027</v>
      </c>
      <c r="D12" s="79">
        <f>+DISPONIBILITATI!C10</f>
        <v>437839</v>
      </c>
      <c r="E12" s="79"/>
      <c r="F12" s="79"/>
      <c r="G12" s="79"/>
      <c r="H12" s="79"/>
      <c r="I12" s="79">
        <f>+'CONT EXECUTIE  '!K8-'VENITURI '!D9-'ANEXA 3'!I16-PLATI!C65</f>
        <v>239735155</v>
      </c>
      <c r="J12" s="79"/>
      <c r="K12" s="79"/>
      <c r="L12" s="79"/>
      <c r="M12" s="79"/>
      <c r="N12" s="79"/>
      <c r="O12" s="79"/>
      <c r="P12" s="79"/>
      <c r="Q12" s="80">
        <f>+DISPONIBILITATI!D10+DISPONIBILITATI!E10+DISPONIBILITATI!F10+DISPONIBILITATI!H10</f>
        <v>68033</v>
      </c>
    </row>
    <row r="13" spans="1:80" ht="33" customHeight="1">
      <c r="A13" s="1303" t="s">
        <v>247</v>
      </c>
      <c r="B13" s="680">
        <v>4</v>
      </c>
      <c r="C13" s="76">
        <f>C11-C12</f>
        <v>-111560435</v>
      </c>
      <c r="D13" s="76">
        <f t="shared" ref="D13:Q13" si="0">ROUND(D11-D12,1)</f>
        <v>2424</v>
      </c>
      <c r="E13" s="76">
        <f t="shared" si="0"/>
        <v>0</v>
      </c>
      <c r="F13" s="76">
        <f t="shared" si="0"/>
        <v>0</v>
      </c>
      <c r="G13" s="76">
        <f t="shared" si="0"/>
        <v>0</v>
      </c>
      <c r="H13" s="76">
        <f t="shared" si="0"/>
        <v>0</v>
      </c>
      <c r="I13" s="76">
        <f t="shared" si="0"/>
        <v>-111560525</v>
      </c>
      <c r="J13" s="76">
        <f t="shared" si="0"/>
        <v>0</v>
      </c>
      <c r="K13" s="76">
        <f t="shared" si="0"/>
        <v>0</v>
      </c>
      <c r="L13" s="76">
        <f t="shared" si="0"/>
        <v>0</v>
      </c>
      <c r="M13" s="76">
        <f t="shared" si="0"/>
        <v>0</v>
      </c>
      <c r="N13" s="76">
        <f t="shared" si="0"/>
        <v>0</v>
      </c>
      <c r="O13" s="76">
        <f t="shared" si="0"/>
        <v>0</v>
      </c>
      <c r="P13" s="76">
        <f>ROUND(P11-P12,1)</f>
        <v>0</v>
      </c>
      <c r="Q13" s="77">
        <f t="shared" si="0"/>
        <v>-2334</v>
      </c>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row>
    <row r="14" spans="1:80" ht="34.5" customHeight="1">
      <c r="A14" s="687" t="s">
        <v>248</v>
      </c>
      <c r="B14" s="680">
        <v>5</v>
      </c>
      <c r="C14" s="76"/>
      <c r="D14" s="76"/>
      <c r="E14" s="76"/>
      <c r="F14" s="76"/>
      <c r="G14" s="76"/>
      <c r="H14" s="76"/>
      <c r="I14" s="79"/>
      <c r="J14" s="79"/>
      <c r="K14" s="79"/>
      <c r="L14" s="79"/>
      <c r="M14" s="79"/>
      <c r="N14" s="79"/>
      <c r="O14" s="79"/>
      <c r="P14" s="79"/>
      <c r="Q14" s="77"/>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row>
    <row r="15" spans="1:80" ht="21" customHeight="1">
      <c r="A15" s="679" t="s">
        <v>245</v>
      </c>
      <c r="B15" s="680">
        <v>6</v>
      </c>
      <c r="C15" s="76">
        <f>SUM(D15:Q15)</f>
        <v>0</v>
      </c>
      <c r="D15" s="79"/>
      <c r="E15" s="76"/>
      <c r="F15" s="76"/>
      <c r="G15" s="76"/>
      <c r="H15" s="76"/>
      <c r="I15" s="79"/>
      <c r="J15" s="79"/>
      <c r="K15" s="79"/>
      <c r="L15" s="79"/>
      <c r="M15" s="79"/>
      <c r="N15" s="79"/>
      <c r="O15" s="79"/>
      <c r="P15" s="1304"/>
      <c r="Q15" s="80"/>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row>
    <row r="16" spans="1:80" ht="21" customHeight="1">
      <c r="A16" s="679" t="s">
        <v>246</v>
      </c>
      <c r="B16" s="680">
        <v>7</v>
      </c>
      <c r="C16" s="76">
        <f>SUM(D16:Q16)</f>
        <v>0</v>
      </c>
      <c r="D16" s="79"/>
      <c r="E16" s="76"/>
      <c r="F16" s="76"/>
      <c r="G16" s="76"/>
      <c r="H16" s="76"/>
      <c r="I16" s="79">
        <f>'CONT EXECUTIE  '!K122+'ANEXA 27'!H18+'ANEXA 27'!H27</f>
        <v>0</v>
      </c>
      <c r="J16" s="79"/>
      <c r="K16" s="79"/>
      <c r="L16" s="79"/>
      <c r="M16" s="79"/>
      <c r="N16" s="79"/>
      <c r="O16" s="79"/>
      <c r="P16" s="79">
        <f>'CONT EXECUTIE   (2)'!K19</f>
        <v>0</v>
      </c>
      <c r="Q16" s="80">
        <f>+DISPONIBILITATI!E14</f>
        <v>0</v>
      </c>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row>
    <row r="17" spans="1:69" ht="32.25" customHeight="1">
      <c r="A17" s="1303" t="s">
        <v>249</v>
      </c>
      <c r="B17" s="680">
        <v>8</v>
      </c>
      <c r="C17" s="76">
        <f>C15-C16</f>
        <v>0</v>
      </c>
      <c r="D17" s="76">
        <f>ROUND(D15-D16,1)</f>
        <v>0</v>
      </c>
      <c r="E17" s="76">
        <f>ROUND(E16-E15,1)</f>
        <v>0</v>
      </c>
      <c r="F17" s="76">
        <f>ROUND(F16-F15,1)</f>
        <v>0</v>
      </c>
      <c r="G17" s="76">
        <f>ROUND(G16-G15,1)</f>
        <v>0</v>
      </c>
      <c r="H17" s="76">
        <f>ROUND(H16-H15,1)</f>
        <v>0</v>
      </c>
      <c r="I17" s="76">
        <f>ROUND(I15-I16,1)</f>
        <v>0</v>
      </c>
      <c r="J17" s="76">
        <f t="shared" ref="J17:O17" si="1">ROUND(J16-J15,1)</f>
        <v>0</v>
      </c>
      <c r="K17" s="76">
        <f t="shared" si="1"/>
        <v>0</v>
      </c>
      <c r="L17" s="76">
        <f t="shared" si="1"/>
        <v>0</v>
      </c>
      <c r="M17" s="76">
        <f t="shared" si="1"/>
        <v>0</v>
      </c>
      <c r="N17" s="76">
        <f t="shared" si="1"/>
        <v>0</v>
      </c>
      <c r="O17" s="76">
        <f t="shared" si="1"/>
        <v>0</v>
      </c>
      <c r="P17" s="76">
        <f>P15-P16</f>
        <v>0</v>
      </c>
      <c r="Q17" s="77">
        <f>ROUND(Q15-Q16,1)</f>
        <v>0</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row>
    <row r="18" spans="1:69" ht="32.25" customHeight="1">
      <c r="A18" s="687" t="s">
        <v>250</v>
      </c>
      <c r="B18" s="680">
        <v>9</v>
      </c>
      <c r="C18" s="76"/>
      <c r="D18" s="76"/>
      <c r="E18" s="76"/>
      <c r="F18" s="76"/>
      <c r="G18" s="76"/>
      <c r="H18" s="76"/>
      <c r="I18" s="79"/>
      <c r="J18" s="79"/>
      <c r="K18" s="79"/>
      <c r="L18" s="79"/>
      <c r="M18" s="79"/>
      <c r="N18" s="79"/>
      <c r="O18" s="79"/>
      <c r="P18" s="79"/>
      <c r="Q18" s="77"/>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row>
    <row r="19" spans="1:69" ht="21" customHeight="1">
      <c r="A19" s="679" t="s">
        <v>245</v>
      </c>
      <c r="B19" s="680">
        <v>10</v>
      </c>
      <c r="C19" s="76">
        <f>SUM(D19:Q19)</f>
        <v>0</v>
      </c>
      <c r="D19" s="79"/>
      <c r="E19" s="76"/>
      <c r="F19" s="76"/>
      <c r="G19" s="76"/>
      <c r="H19" s="76"/>
      <c r="I19" s="79"/>
      <c r="J19" s="79"/>
      <c r="K19" s="79"/>
      <c r="L19" s="79"/>
      <c r="M19" s="79"/>
      <c r="N19" s="79"/>
      <c r="O19" s="79"/>
      <c r="P19" s="1304"/>
      <c r="Q19" s="80"/>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row>
    <row r="20" spans="1:69" ht="22.5" customHeight="1">
      <c r="A20" s="679" t="s">
        <v>246</v>
      </c>
      <c r="B20" s="680">
        <v>11</v>
      </c>
      <c r="C20" s="76">
        <f>SUM(D20:Q20)</f>
        <v>0</v>
      </c>
      <c r="D20" s="79"/>
      <c r="E20" s="76"/>
      <c r="F20" s="76"/>
      <c r="G20" s="76"/>
      <c r="H20" s="76"/>
      <c r="I20" s="79">
        <f>+PLATI!C65</f>
        <v>0</v>
      </c>
      <c r="J20" s="79"/>
      <c r="K20" s="79"/>
      <c r="L20" s="79"/>
      <c r="M20" s="79"/>
      <c r="N20" s="79"/>
      <c r="O20" s="79"/>
      <c r="P20" s="79"/>
      <c r="Q20" s="80"/>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row>
    <row r="21" spans="1:69" ht="35.25" customHeight="1">
      <c r="A21" s="1303" t="s">
        <v>251</v>
      </c>
      <c r="B21" s="680">
        <v>12</v>
      </c>
      <c r="C21" s="76">
        <f>C19-C20</f>
        <v>0</v>
      </c>
      <c r="D21" s="76">
        <f t="shared" ref="D21:Q21" si="2">ROUND(D19-D20,1)</f>
        <v>0</v>
      </c>
      <c r="E21" s="76">
        <f t="shared" si="2"/>
        <v>0</v>
      </c>
      <c r="F21" s="76">
        <f t="shared" si="2"/>
        <v>0</v>
      </c>
      <c r="G21" s="76">
        <f t="shared" si="2"/>
        <v>0</v>
      </c>
      <c r="H21" s="76">
        <f t="shared" si="2"/>
        <v>0</v>
      </c>
      <c r="I21" s="76">
        <f t="shared" si="2"/>
        <v>0</v>
      </c>
      <c r="J21" s="76">
        <f t="shared" si="2"/>
        <v>0</v>
      </c>
      <c r="K21" s="76">
        <f t="shared" si="2"/>
        <v>0</v>
      </c>
      <c r="L21" s="76">
        <f t="shared" si="2"/>
        <v>0</v>
      </c>
      <c r="M21" s="76">
        <f t="shared" si="2"/>
        <v>0</v>
      </c>
      <c r="N21" s="76">
        <f t="shared" si="2"/>
        <v>0</v>
      </c>
      <c r="O21" s="76">
        <f t="shared" si="2"/>
        <v>0</v>
      </c>
      <c r="P21" s="76">
        <f>ROUND(P19-P20,1)</f>
        <v>0</v>
      </c>
      <c r="Q21" s="77">
        <f t="shared" si="2"/>
        <v>0</v>
      </c>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row>
    <row r="22" spans="1:69" ht="48.75" customHeight="1">
      <c r="A22" s="687" t="s">
        <v>252</v>
      </c>
      <c r="B22" s="680">
        <v>13</v>
      </c>
      <c r="C22" s="76">
        <f t="shared" ref="C22:Q22" si="3">ROUND(C13+C17+C21,1)</f>
        <v>-111560435</v>
      </c>
      <c r="D22" s="76">
        <f t="shared" si="3"/>
        <v>2424</v>
      </c>
      <c r="E22" s="76">
        <f t="shared" si="3"/>
        <v>0</v>
      </c>
      <c r="F22" s="76">
        <f t="shared" si="3"/>
        <v>0</v>
      </c>
      <c r="G22" s="76">
        <f t="shared" si="3"/>
        <v>0</v>
      </c>
      <c r="H22" s="76">
        <f t="shared" si="3"/>
        <v>0</v>
      </c>
      <c r="I22" s="76">
        <f t="shared" si="3"/>
        <v>-111560525</v>
      </c>
      <c r="J22" s="76">
        <f t="shared" si="3"/>
        <v>0</v>
      </c>
      <c r="K22" s="76">
        <f t="shared" si="3"/>
        <v>0</v>
      </c>
      <c r="L22" s="76">
        <f t="shared" si="3"/>
        <v>0</v>
      </c>
      <c r="M22" s="76">
        <f t="shared" si="3"/>
        <v>0</v>
      </c>
      <c r="N22" s="76">
        <f t="shared" si="3"/>
        <v>0</v>
      </c>
      <c r="O22" s="76">
        <f t="shared" si="3"/>
        <v>0</v>
      </c>
      <c r="P22" s="76">
        <f t="shared" si="3"/>
        <v>0</v>
      </c>
      <c r="Q22" s="77">
        <f t="shared" si="3"/>
        <v>-2334</v>
      </c>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row>
    <row r="23" spans="1:69" ht="33.75" customHeight="1">
      <c r="A23" s="2632" t="s">
        <v>253</v>
      </c>
      <c r="B23" s="2633">
        <v>14</v>
      </c>
      <c r="C23" s="2634">
        <f>SUM(D23:Q23)</f>
        <v>18581</v>
      </c>
      <c r="D23" s="2635"/>
      <c r="E23" s="2634"/>
      <c r="F23" s="2634"/>
      <c r="G23" s="2634"/>
      <c r="H23" s="2634"/>
      <c r="I23" s="2635"/>
      <c r="J23" s="2635"/>
      <c r="K23" s="2635"/>
      <c r="L23" s="2635"/>
      <c r="M23" s="2635"/>
      <c r="N23" s="2635"/>
      <c r="O23" s="2635"/>
      <c r="P23" s="2636"/>
      <c r="Q23" s="2637">
        <f>+DISPONIBILITATI!D21+DISPONIBILITATI!E21+DISPONIBILITATI!F21+DISPONIBILITATI!H21</f>
        <v>18581</v>
      </c>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row>
    <row r="24" spans="1:69" ht="31.5" customHeight="1">
      <c r="A24" s="2625" t="s">
        <v>2138</v>
      </c>
      <c r="B24" s="2626" t="s">
        <v>254</v>
      </c>
      <c r="C24" s="2627">
        <f t="shared" ref="C24:C25" si="4">SUM(D24:Q24)</f>
        <v>0</v>
      </c>
      <c r="D24" s="2628"/>
      <c r="E24" s="2627"/>
      <c r="F24" s="2627"/>
      <c r="G24" s="2627"/>
      <c r="H24" s="2627"/>
      <c r="I24" s="2629"/>
      <c r="J24" s="2628"/>
      <c r="K24" s="2628"/>
      <c r="L24" s="2628"/>
      <c r="M24" s="2628"/>
      <c r="N24" s="2628"/>
      <c r="O24" s="2628"/>
      <c r="P24" s="2630"/>
      <c r="Q24" s="2631"/>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row>
    <row r="25" spans="1:69" ht="25.5">
      <c r="A25" s="687" t="s">
        <v>2139</v>
      </c>
      <c r="B25" s="1302" t="s">
        <v>255</v>
      </c>
      <c r="C25" s="76">
        <f t="shared" si="4"/>
        <v>0</v>
      </c>
      <c r="D25" s="79"/>
      <c r="E25" s="76"/>
      <c r="F25" s="76"/>
      <c r="G25" s="76"/>
      <c r="H25" s="76"/>
      <c r="I25" s="1304"/>
      <c r="J25" s="79"/>
      <c r="K25" s="79"/>
      <c r="L25" s="79"/>
      <c r="M25" s="79"/>
      <c r="N25" s="79"/>
      <c r="O25" s="79"/>
      <c r="P25" s="1304"/>
      <c r="Q25" s="80"/>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row>
    <row r="26" spans="1:69" ht="44.25" customHeight="1">
      <c r="A26" s="687" t="s">
        <v>2118</v>
      </c>
      <c r="B26" s="1302" t="s">
        <v>256</v>
      </c>
      <c r="C26" s="1305" t="s">
        <v>212</v>
      </c>
      <c r="D26" s="1305" t="s">
        <v>212</v>
      </c>
      <c r="E26" s="1305" t="s">
        <v>212</v>
      </c>
      <c r="F26" s="1305" t="s">
        <v>212</v>
      </c>
      <c r="G26" s="1305" t="s">
        <v>212</v>
      </c>
      <c r="H26" s="1305" t="s">
        <v>212</v>
      </c>
      <c r="I26" s="1305"/>
      <c r="J26" s="1305" t="s">
        <v>212</v>
      </c>
      <c r="K26" s="1305" t="s">
        <v>212</v>
      </c>
      <c r="L26" s="1305" t="s">
        <v>212</v>
      </c>
      <c r="M26" s="1305" t="s">
        <v>212</v>
      </c>
      <c r="N26" s="1305" t="s">
        <v>212</v>
      </c>
      <c r="O26" s="1305"/>
      <c r="P26" s="1305"/>
      <c r="Q26" s="1306" t="s">
        <v>212</v>
      </c>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row>
    <row r="27" spans="1:69" ht="63.75" customHeight="1">
      <c r="A27" s="691" t="s">
        <v>257</v>
      </c>
      <c r="B27" s="692">
        <v>15</v>
      </c>
      <c r="C27" s="81">
        <f>C23+C24-C25+C22</f>
        <v>-111541854</v>
      </c>
      <c r="D27" s="81">
        <f t="shared" ref="D27:Q27" si="5">ROUND(D22+D23,1)</f>
        <v>2424</v>
      </c>
      <c r="E27" s="81">
        <f t="shared" si="5"/>
        <v>0</v>
      </c>
      <c r="F27" s="81">
        <f t="shared" si="5"/>
        <v>0</v>
      </c>
      <c r="G27" s="81">
        <f t="shared" si="5"/>
        <v>0</v>
      </c>
      <c r="H27" s="81">
        <f t="shared" si="5"/>
        <v>0</v>
      </c>
      <c r="I27" s="81">
        <f>I22+I23+I24-I25</f>
        <v>-111560525</v>
      </c>
      <c r="J27" s="81">
        <f t="shared" si="5"/>
        <v>0</v>
      </c>
      <c r="K27" s="81">
        <f t="shared" si="5"/>
        <v>0</v>
      </c>
      <c r="L27" s="81">
        <f t="shared" si="5"/>
        <v>0</v>
      </c>
      <c r="M27" s="81">
        <f t="shared" si="5"/>
        <v>0</v>
      </c>
      <c r="N27" s="81">
        <f t="shared" si="5"/>
        <v>0</v>
      </c>
      <c r="O27" s="81">
        <f t="shared" si="5"/>
        <v>0</v>
      </c>
      <c r="P27" s="81">
        <f>P22+P23+P24-P25</f>
        <v>0</v>
      </c>
      <c r="Q27" s="82">
        <f t="shared" si="5"/>
        <v>16247</v>
      </c>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row>
    <row r="28" spans="1:69" ht="34.5" customHeight="1">
      <c r="A28" s="83"/>
      <c r="B28" s="84"/>
      <c r="C28" s="85"/>
      <c r="D28" s="85"/>
      <c r="E28" s="85"/>
      <c r="F28" s="85"/>
      <c r="G28" s="85"/>
      <c r="H28" s="85"/>
      <c r="I28" s="85"/>
      <c r="J28" s="85"/>
      <c r="K28" s="85"/>
      <c r="L28" s="85"/>
      <c r="M28" s="85"/>
      <c r="N28" s="85"/>
      <c r="O28" s="85"/>
      <c r="P28" s="85"/>
      <c r="Q28" s="85"/>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row>
    <row r="29" spans="1:69" ht="18">
      <c r="B29" s="86"/>
      <c r="C29" s="87" t="str">
        <f>IF('ANEXA 1'!D43&lt;&gt;C23,"EROARE"," ")</f>
        <v xml:space="preserve"> </v>
      </c>
      <c r="D29" s="88"/>
      <c r="E29" s="89"/>
      <c r="F29" s="89"/>
      <c r="G29" s="89"/>
      <c r="H29" s="89"/>
      <c r="I29" s="87"/>
      <c r="J29" s="89"/>
      <c r="K29" s="89"/>
      <c r="L29" s="89"/>
      <c r="M29" s="89"/>
      <c r="N29" s="89"/>
      <c r="O29" s="89"/>
      <c r="P29" s="89"/>
      <c r="Q29" s="89"/>
    </row>
    <row r="30" spans="1:69" ht="18" customHeight="1">
      <c r="B30" s="70"/>
      <c r="C30" s="87" t="str">
        <f>IF('ANEXA 1'!E43&lt;&gt;C27,"EROARE"," ")</f>
        <v xml:space="preserve"> </v>
      </c>
      <c r="I30" s="87" t="str">
        <f>IF('CONT EXECUTIE  '!K307+'CONT EXECUTIE  '!K308&lt;&gt;I22,"EROARE"," ")</f>
        <v xml:space="preserve"> </v>
      </c>
      <c r="P30" s="87"/>
    </row>
    <row r="31" spans="1:69" ht="15.75">
      <c r="B31" s="70"/>
      <c r="C31" s="59"/>
      <c r="D31" s="59"/>
      <c r="E31" s="59"/>
      <c r="F31" s="59"/>
      <c r="G31" s="59"/>
      <c r="H31" s="90"/>
      <c r="I31" s="90"/>
      <c r="J31" s="90"/>
      <c r="K31" s="90"/>
      <c r="L31" s="90"/>
      <c r="M31" s="90"/>
      <c r="N31" s="90"/>
      <c r="O31" s="90"/>
      <c r="P31" s="90"/>
    </row>
    <row r="32" spans="1:69" ht="18" customHeight="1">
      <c r="A32" s="4003" t="str">
        <f>'ANEXA 1'!B94</f>
        <v>DIRECTOR  GENERAL,</v>
      </c>
      <c r="B32" s="4003"/>
      <c r="C32" s="4003"/>
      <c r="D32" s="91"/>
      <c r="F32" s="69"/>
      <c r="G32" s="67"/>
      <c r="H32" s="4003" t="str">
        <f>'ANEXA 1'!D94</f>
        <v>DIRECTOR  EXECUTIV  ECONOMIC,</v>
      </c>
      <c r="I32" s="4003"/>
      <c r="J32" s="4003"/>
      <c r="K32" s="4003"/>
      <c r="L32" s="4003"/>
      <c r="M32" s="4003"/>
      <c r="N32" s="4003"/>
      <c r="O32" s="67"/>
      <c r="P32" s="67"/>
      <c r="Q32" s="67"/>
    </row>
    <row r="33" spans="1:16" ht="15">
      <c r="H33" s="322"/>
      <c r="I33" s="322"/>
      <c r="J33" s="322"/>
      <c r="K33" s="322"/>
      <c r="L33" s="322"/>
      <c r="M33" s="322"/>
      <c r="N33" s="322"/>
    </row>
    <row r="34" spans="1:16" ht="15.75">
      <c r="A34" s="4010" t="str">
        <f>'ANEXA 1'!B96</f>
        <v>EC.ALBU DRINA</v>
      </c>
      <c r="B34" s="4010"/>
      <c r="C34" s="4010"/>
      <c r="H34" s="4011" t="str">
        <f>'ANEXA 2'!D52</f>
        <v>EC.BIRCU FLORINA</v>
      </c>
      <c r="I34" s="4010"/>
      <c r="J34" s="4010"/>
      <c r="K34" s="4010"/>
      <c r="L34" s="4010"/>
      <c r="M34" s="4010"/>
      <c r="N34" s="4010"/>
    </row>
    <row r="35" spans="1:16" ht="15">
      <c r="A35" s="4009">
        <f>'ANEXA 1'!B97</f>
        <v>0</v>
      </c>
      <c r="B35" s="4009"/>
      <c r="C35" s="4009"/>
      <c r="H35" s="322"/>
      <c r="I35" s="322"/>
      <c r="J35" s="322"/>
      <c r="K35" s="322"/>
      <c r="L35" s="322"/>
      <c r="M35" s="322"/>
      <c r="N35" s="322"/>
    </row>
    <row r="36" spans="1:16" ht="15">
      <c r="H36" s="322"/>
      <c r="I36" s="322"/>
      <c r="J36" s="322"/>
      <c r="K36" s="322"/>
      <c r="L36" s="322"/>
      <c r="M36" s="322"/>
      <c r="N36" s="322"/>
    </row>
    <row r="37" spans="1:16">
      <c r="N37" s="1054"/>
    </row>
    <row r="38" spans="1:16" ht="15">
      <c r="A38" s="4006">
        <f>+'ANEXA 1'!B99</f>
        <v>0</v>
      </c>
      <c r="B38" s="4007"/>
      <c r="C38" s="4007"/>
      <c r="I38" s="4001">
        <f>+'ANEXA 1'!D99</f>
        <v>0</v>
      </c>
      <c r="J38" s="4001"/>
      <c r="K38" s="4001"/>
      <c r="L38" s="4001"/>
      <c r="M38" s="4001"/>
      <c r="N38" s="1584"/>
      <c r="O38" s="1584"/>
      <c r="P38" s="1584"/>
    </row>
    <row r="39" spans="1:16" ht="15">
      <c r="A39" s="719"/>
      <c r="B39" s="719"/>
      <c r="C39" s="719"/>
      <c r="N39" s="1054"/>
    </row>
    <row r="40" spans="1:16" ht="15">
      <c r="A40" s="4007">
        <f>+'ANEXA 1'!B101</f>
        <v>0</v>
      </c>
      <c r="B40" s="4007"/>
      <c r="C40" s="4007"/>
      <c r="I40" s="4005">
        <f>+'ANEXA 1'!D101</f>
        <v>0</v>
      </c>
      <c r="J40" s="4005"/>
      <c r="K40" s="4005"/>
      <c r="L40" s="4005"/>
      <c r="M40" s="4005"/>
      <c r="N40" s="1585"/>
      <c r="O40" s="1585"/>
      <c r="P40" s="1585"/>
    </row>
  </sheetData>
  <sheetProtection password="CFDD" sheet="1" objects="1" scenarios="1"/>
  <mergeCells count="13">
    <mergeCell ref="I38:M38"/>
    <mergeCell ref="I40:M40"/>
    <mergeCell ref="A38:C38"/>
    <mergeCell ref="A40:C40"/>
    <mergeCell ref="A1:E1"/>
    <mergeCell ref="K1:Q1"/>
    <mergeCell ref="A5:Q5"/>
    <mergeCell ref="A35:C35"/>
    <mergeCell ref="A34:C34"/>
    <mergeCell ref="H34:N34"/>
    <mergeCell ref="A32:C32"/>
    <mergeCell ref="H32:N32"/>
    <mergeCell ref="A6:Q6"/>
  </mergeCells>
  <phoneticPr fontId="0" type="noConversion"/>
  <dataValidations count="1">
    <dataValidation type="whole" allowBlank="1" showErrorMessage="1" sqref="C10:O27 Q10:Q27 P18:P27 P10 P12:P16">
      <formula1>0</formula1>
      <formula2>9.99999999999999E+26</formula2>
    </dataValidation>
  </dataValidations>
  <pageMargins left="0.47244094488188981" right="0.19685039370078741" top="0.15748031496062992" bottom="0.15748031496062992" header="0.51181102362204722" footer="0.11811023622047245"/>
  <pageSetup paperSize="9" scale="80" firstPageNumber="0" orientation="landscape" r:id="rId1"/>
  <headerFooter alignWithMargins="0">
    <oddFooter>&amp;C&amp;A&amp;RPage &amp;P</oddFooter>
  </headerFooter>
  <rowBreaks count="1" manualBreakCount="1">
    <brk id="23" max="16"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4">
    <tabColor rgb="FFC00000"/>
  </sheetPr>
  <dimension ref="A1:X39"/>
  <sheetViews>
    <sheetView showZeros="0" workbookViewId="0">
      <selection activeCell="E20" sqref="E20"/>
    </sheetView>
  </sheetViews>
  <sheetFormatPr defaultColWidth="9.140625" defaultRowHeight="12.75"/>
  <cols>
    <col min="1" max="1" width="32.28515625" style="13" customWidth="1"/>
    <col min="2" max="2" width="12.42578125" style="259" customWidth="1"/>
    <col min="3" max="4" width="13.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260"/>
    <col min="25" max="16384" width="9.140625" style="13"/>
  </cols>
  <sheetData>
    <row r="1" spans="1:24" ht="27.75" customHeight="1">
      <c r="A1" s="4411" t="str">
        <f>'ANEXA 1'!A1</f>
        <v>CASA  DE  ASIGURĂRI  DE  SĂNĂTATE MEHEDINTI</v>
      </c>
      <c r="B1" s="4411"/>
      <c r="C1" s="4411"/>
      <c r="D1" s="4411"/>
      <c r="E1" s="4411"/>
      <c r="F1" s="4411"/>
      <c r="G1" s="4411"/>
      <c r="H1" s="261"/>
      <c r="K1" s="17" t="s">
        <v>894</v>
      </c>
    </row>
    <row r="2" spans="1:24" ht="21" customHeight="1">
      <c r="A2" s="3984" t="s">
        <v>895</v>
      </c>
      <c r="B2" s="3984"/>
      <c r="C2" s="3984"/>
      <c r="D2" s="3984"/>
      <c r="E2" s="3984"/>
      <c r="F2" s="3984"/>
      <c r="G2" s="3984"/>
      <c r="H2" s="3984"/>
      <c r="I2" s="3984"/>
      <c r="J2" s="3984"/>
      <c r="K2" s="3984"/>
    </row>
    <row r="3" spans="1:24" ht="19.5" customHeight="1">
      <c r="A3" s="3984" t="str">
        <f>'ANEXA 1'!A12</f>
        <v>la  data  de  30  IUNIE  2023</v>
      </c>
      <c r="B3" s="3984"/>
      <c r="C3" s="3984"/>
      <c r="D3" s="3984"/>
      <c r="E3" s="3984"/>
      <c r="F3" s="3984"/>
      <c r="G3" s="3984"/>
      <c r="H3" s="3984"/>
      <c r="I3" s="3984"/>
      <c r="J3" s="3984"/>
      <c r="K3" s="3984"/>
    </row>
    <row r="4" spans="1:24" s="265" customFormat="1" ht="14.25">
      <c r="A4" s="262" t="s">
        <v>1657</v>
      </c>
      <c r="B4" s="263"/>
      <c r="C4" s="262"/>
      <c r="D4" s="262"/>
      <c r="E4" s="264"/>
      <c r="F4" s="264"/>
      <c r="G4" s="264"/>
      <c r="H4" s="264"/>
      <c r="I4" s="264"/>
      <c r="J4" s="264"/>
      <c r="K4" s="1326" t="s">
        <v>1031</v>
      </c>
      <c r="L4" s="260"/>
      <c r="M4" s="260"/>
      <c r="N4" s="260"/>
      <c r="O4" s="260"/>
      <c r="P4" s="260"/>
      <c r="Q4" s="260"/>
      <c r="R4" s="260"/>
      <c r="S4" s="260"/>
      <c r="T4" s="260"/>
      <c r="U4" s="260"/>
      <c r="V4" s="260"/>
      <c r="W4" s="260"/>
      <c r="X4" s="260"/>
    </row>
    <row r="5" spans="1:24" s="265" customFormat="1" ht="30" customHeight="1">
      <c r="A5" s="4412" t="s">
        <v>897</v>
      </c>
      <c r="B5" s="4153" t="s">
        <v>686</v>
      </c>
      <c r="C5" s="4153" t="s">
        <v>809</v>
      </c>
      <c r="D5" s="4153"/>
      <c r="E5" s="4153" t="s">
        <v>810</v>
      </c>
      <c r="F5" s="4153"/>
      <c r="G5" s="4155" t="s">
        <v>811</v>
      </c>
      <c r="H5" s="4155" t="s">
        <v>812</v>
      </c>
      <c r="I5" s="4155" t="s">
        <v>898</v>
      </c>
      <c r="J5" s="4155" t="s">
        <v>899</v>
      </c>
      <c r="K5" s="4157" t="s">
        <v>815</v>
      </c>
      <c r="L5" s="260"/>
      <c r="M5" s="260"/>
      <c r="N5" s="260"/>
      <c r="O5" s="260"/>
      <c r="P5" s="260"/>
      <c r="Q5" s="260"/>
      <c r="R5" s="260"/>
      <c r="S5" s="260"/>
      <c r="T5" s="260"/>
      <c r="U5" s="260"/>
      <c r="V5" s="260"/>
      <c r="W5" s="260"/>
      <c r="X5" s="260"/>
    </row>
    <row r="6" spans="1:24" s="265" customFormat="1" ht="63.75">
      <c r="A6" s="4413"/>
      <c r="B6" s="4414"/>
      <c r="C6" s="1549" t="str">
        <f>'ANEXA 7 CAPITOL 6805 '!C6</f>
        <v>anuale aprobate la finele perioadei de raportare</v>
      </c>
      <c r="D6" s="1845" t="str">
        <f>'ANEXA 7 CAPITOL 6805 '!D6</f>
        <v>trimestriale cumulate</v>
      </c>
      <c r="E6" s="1845" t="str">
        <f>'ANEXA 7 CAPITOL 6805 '!E6</f>
        <v>anuale aprobate la finele perioadei de raportare</v>
      </c>
      <c r="F6" s="1845" t="str">
        <f>'ANEXA 7 CAPITOL 6805 '!F6</f>
        <v>trimestriale cumulate</v>
      </c>
      <c r="G6" s="4415"/>
      <c r="H6" s="4415"/>
      <c r="I6" s="4415"/>
      <c r="J6" s="4415"/>
      <c r="K6" s="4416"/>
      <c r="L6" s="260"/>
      <c r="M6" s="260"/>
      <c r="N6" s="260"/>
      <c r="O6" s="260"/>
      <c r="P6" s="260"/>
      <c r="Q6" s="260"/>
      <c r="R6" s="260"/>
      <c r="S6" s="260"/>
      <c r="T6" s="260"/>
      <c r="U6" s="260"/>
      <c r="V6" s="260"/>
      <c r="W6" s="260"/>
      <c r="X6" s="260"/>
    </row>
    <row r="7" spans="1:24" s="265" customFormat="1">
      <c r="A7" s="1338" t="s">
        <v>92</v>
      </c>
      <c r="B7" s="1299" t="s">
        <v>93</v>
      </c>
      <c r="C7" s="1299">
        <v>1</v>
      </c>
      <c r="D7" s="1299">
        <v>2</v>
      </c>
      <c r="E7" s="1299">
        <v>3</v>
      </c>
      <c r="F7" s="1299">
        <v>4</v>
      </c>
      <c r="G7" s="1299">
        <v>5</v>
      </c>
      <c r="H7" s="1299">
        <v>6</v>
      </c>
      <c r="I7" s="1299">
        <v>7</v>
      </c>
      <c r="J7" s="1299" t="s">
        <v>2057</v>
      </c>
      <c r="K7" s="1300">
        <v>9</v>
      </c>
      <c r="L7" s="260"/>
      <c r="M7" s="260"/>
      <c r="N7" s="260"/>
      <c r="O7" s="260"/>
      <c r="P7" s="260"/>
      <c r="Q7" s="260"/>
      <c r="R7" s="260"/>
      <c r="S7" s="260"/>
      <c r="T7" s="260"/>
      <c r="U7" s="260"/>
      <c r="V7" s="260"/>
      <c r="W7" s="260"/>
      <c r="X7" s="260"/>
    </row>
    <row r="8" spans="1:24" s="265" customFormat="1" ht="15">
      <c r="A8" s="1336" t="s">
        <v>820</v>
      </c>
      <c r="B8" s="1212" t="s">
        <v>1660</v>
      </c>
      <c r="C8" s="1213">
        <f t="shared" ref="C8:K11" si="0">+C9</f>
        <v>0</v>
      </c>
      <c r="D8" s="1213">
        <f t="shared" si="0"/>
        <v>0</v>
      </c>
      <c r="E8" s="1213">
        <f t="shared" si="0"/>
        <v>0</v>
      </c>
      <c r="F8" s="1213">
        <f t="shared" si="0"/>
        <v>0</v>
      </c>
      <c r="G8" s="1213">
        <f t="shared" si="0"/>
        <v>0</v>
      </c>
      <c r="H8" s="1213">
        <f t="shared" si="0"/>
        <v>0</v>
      </c>
      <c r="I8" s="1213">
        <f t="shared" si="0"/>
        <v>0</v>
      </c>
      <c r="J8" s="1214">
        <f t="shared" si="0"/>
        <v>0</v>
      </c>
      <c r="K8" s="1337">
        <f t="shared" si="0"/>
        <v>0</v>
      </c>
      <c r="L8" s="266"/>
      <c r="M8" s="260"/>
      <c r="N8" s="260"/>
      <c r="O8" s="260"/>
      <c r="P8" s="260"/>
      <c r="Q8" s="260"/>
      <c r="R8" s="260"/>
      <c r="S8" s="260"/>
      <c r="T8" s="260"/>
      <c r="U8" s="260"/>
      <c r="V8" s="260"/>
      <c r="W8" s="260"/>
      <c r="X8" s="260"/>
    </row>
    <row r="9" spans="1:24" s="265" customFormat="1" ht="15">
      <c r="A9" s="1327" t="s">
        <v>1578</v>
      </c>
      <c r="B9" s="1206" t="s">
        <v>1998</v>
      </c>
      <c r="C9" s="1207">
        <f t="shared" si="0"/>
        <v>0</v>
      </c>
      <c r="D9" s="1207">
        <f t="shared" si="0"/>
        <v>0</v>
      </c>
      <c r="E9" s="1207">
        <f t="shared" si="0"/>
        <v>0</v>
      </c>
      <c r="F9" s="1207">
        <f t="shared" si="0"/>
        <v>0</v>
      </c>
      <c r="G9" s="1205">
        <f t="shared" si="0"/>
        <v>0</v>
      </c>
      <c r="H9" s="1205">
        <f t="shared" si="0"/>
        <v>0</v>
      </c>
      <c r="I9" s="1205">
        <f t="shared" si="0"/>
        <v>0</v>
      </c>
      <c r="J9" s="1295">
        <f t="shared" si="0"/>
        <v>0</v>
      </c>
      <c r="K9" s="1556">
        <f t="shared" si="0"/>
        <v>0</v>
      </c>
      <c r="L9" s="266"/>
      <c r="M9" s="260"/>
      <c r="N9" s="260"/>
      <c r="O9" s="260"/>
      <c r="P9" s="260"/>
      <c r="Q9" s="260"/>
      <c r="R9" s="260"/>
      <c r="S9" s="260"/>
      <c r="T9" s="260"/>
      <c r="U9" s="260"/>
      <c r="V9" s="260"/>
      <c r="W9" s="260"/>
      <c r="X9" s="260"/>
    </row>
    <row r="10" spans="1:24" s="265" customFormat="1" ht="48">
      <c r="A10" s="1328" t="s">
        <v>1996</v>
      </c>
      <c r="B10" s="1204" t="s">
        <v>1999</v>
      </c>
      <c r="C10" s="1205">
        <f t="shared" si="0"/>
        <v>0</v>
      </c>
      <c r="D10" s="1205">
        <f t="shared" si="0"/>
        <v>0</v>
      </c>
      <c r="E10" s="1205">
        <f t="shared" si="0"/>
        <v>0</v>
      </c>
      <c r="F10" s="1205">
        <f t="shared" si="0"/>
        <v>0</v>
      </c>
      <c r="G10" s="1205">
        <f t="shared" si="0"/>
        <v>0</v>
      </c>
      <c r="H10" s="1205">
        <f t="shared" si="0"/>
        <v>0</v>
      </c>
      <c r="I10" s="1205">
        <f t="shared" si="0"/>
        <v>0</v>
      </c>
      <c r="J10" s="1295">
        <f t="shared" si="0"/>
        <v>0</v>
      </c>
      <c r="K10" s="1557">
        <f t="shared" si="0"/>
        <v>0</v>
      </c>
      <c r="L10" s="266"/>
      <c r="M10" s="260"/>
      <c r="N10" s="260"/>
      <c r="O10" s="260"/>
      <c r="P10" s="260"/>
      <c r="Q10" s="260"/>
      <c r="R10" s="260"/>
      <c r="S10" s="260"/>
      <c r="T10" s="260"/>
      <c r="U10" s="260"/>
      <c r="V10" s="260"/>
      <c r="W10" s="260"/>
      <c r="X10" s="260"/>
    </row>
    <row r="11" spans="1:24" s="265" customFormat="1" ht="25.5">
      <c r="A11" s="1329" t="s">
        <v>2000</v>
      </c>
      <c r="B11" s="1206" t="s">
        <v>2007</v>
      </c>
      <c r="C11" s="1207">
        <f t="shared" si="0"/>
        <v>0</v>
      </c>
      <c r="D11" s="1207">
        <f t="shared" si="0"/>
        <v>0</v>
      </c>
      <c r="E11" s="1207">
        <f t="shared" si="0"/>
        <v>0</v>
      </c>
      <c r="F11" s="1207">
        <f t="shared" si="0"/>
        <v>0</v>
      </c>
      <c r="G11" s="1205">
        <f t="shared" si="0"/>
        <v>0</v>
      </c>
      <c r="H11" s="1205">
        <f t="shared" si="0"/>
        <v>0</v>
      </c>
      <c r="I11" s="1205">
        <f t="shared" si="0"/>
        <v>0</v>
      </c>
      <c r="J11" s="1205">
        <f t="shared" si="0"/>
        <v>0</v>
      </c>
      <c r="K11" s="1556">
        <f t="shared" si="0"/>
        <v>0</v>
      </c>
      <c r="L11" s="266"/>
      <c r="M11" s="260"/>
      <c r="N11" s="260"/>
      <c r="O11" s="260"/>
      <c r="P11" s="260"/>
      <c r="Q11" s="260"/>
      <c r="R11" s="260"/>
      <c r="S11" s="260"/>
      <c r="T11" s="260"/>
      <c r="U11" s="260"/>
      <c r="V11" s="260"/>
      <c r="W11" s="260"/>
      <c r="X11" s="260"/>
    </row>
    <row r="12" spans="1:24" s="265" customFormat="1" ht="15">
      <c r="A12" s="1327" t="s">
        <v>976</v>
      </c>
      <c r="B12" s="1206" t="s">
        <v>2008</v>
      </c>
      <c r="C12" s="1207">
        <f>'CONT EXECUTIE   (2)'!C19</f>
        <v>0</v>
      </c>
      <c r="D12" s="1207">
        <f>'CONT EXECUTIE   (2)'!D19</f>
        <v>0</v>
      </c>
      <c r="E12" s="1207">
        <f>'CONT EXECUTIE   (2)'!E19</f>
        <v>0</v>
      </c>
      <c r="F12" s="1207">
        <f>'CONT EXECUTIE   (2)'!F19</f>
        <v>0</v>
      </c>
      <c r="G12" s="1770">
        <f>'CONT EXECUTIE   (2)'!G19</f>
        <v>0</v>
      </c>
      <c r="H12" s="1207">
        <f>'CONT EXECUTIE   (2)'!H19</f>
        <v>0</v>
      </c>
      <c r="I12" s="1207">
        <f>'CONT EXECUTIE   (2)'!K19</f>
        <v>0</v>
      </c>
      <c r="J12" s="1207">
        <f>'CONT EXECUTIE   (2)'!L19</f>
        <v>0</v>
      </c>
      <c r="K12" s="1297">
        <f>'CONT EXECUTIE   (2)'!M19</f>
        <v>0</v>
      </c>
      <c r="L12" s="266"/>
      <c r="M12" s="260"/>
      <c r="N12" s="260"/>
      <c r="O12" s="260"/>
      <c r="P12" s="260"/>
      <c r="Q12" s="260"/>
      <c r="R12" s="260"/>
      <c r="S12" s="260"/>
      <c r="T12" s="260"/>
      <c r="U12" s="260"/>
      <c r="V12" s="260"/>
      <c r="W12" s="260"/>
      <c r="X12" s="260"/>
    </row>
    <row r="13" spans="1:24" s="265" customFormat="1" ht="24">
      <c r="A13" s="1330" t="s">
        <v>1006</v>
      </c>
      <c r="B13" s="1210">
        <v>90</v>
      </c>
      <c r="C13" s="1208"/>
      <c r="D13" s="1208"/>
      <c r="E13" s="1207">
        <v>0</v>
      </c>
      <c r="F13" s="1207">
        <v>0</v>
      </c>
      <c r="G13" s="1207"/>
      <c r="H13" s="1207"/>
      <c r="J13" s="1209"/>
      <c r="K13" s="1298"/>
      <c r="L13" s="266"/>
      <c r="M13" s="260"/>
      <c r="N13" s="260"/>
      <c r="O13" s="260"/>
      <c r="P13" s="260"/>
      <c r="Q13" s="260"/>
      <c r="R13" s="260"/>
      <c r="S13" s="260"/>
      <c r="T13" s="260"/>
      <c r="U13" s="260"/>
      <c r="V13" s="260"/>
      <c r="W13" s="260"/>
      <c r="X13" s="260"/>
    </row>
    <row r="14" spans="1:24" s="265" customFormat="1" ht="14.25">
      <c r="A14" s="1330" t="s">
        <v>1007</v>
      </c>
      <c r="B14" s="1210" t="s">
        <v>1008</v>
      </c>
      <c r="C14" s="1211"/>
      <c r="D14" s="1211"/>
      <c r="E14" s="1208"/>
      <c r="F14" s="1208"/>
      <c r="G14" s="1208"/>
      <c r="H14" s="1208"/>
      <c r="I14" s="1208"/>
      <c r="J14" s="1209"/>
      <c r="K14" s="1298"/>
      <c r="L14" s="266"/>
      <c r="M14" s="260"/>
      <c r="N14" s="260"/>
      <c r="O14" s="260"/>
      <c r="P14" s="260"/>
      <c r="Q14" s="260"/>
      <c r="R14" s="260"/>
      <c r="S14" s="260"/>
      <c r="T14" s="260"/>
      <c r="U14" s="260"/>
      <c r="V14" s="260"/>
      <c r="W14" s="260"/>
      <c r="X14" s="260"/>
    </row>
    <row r="15" spans="1:24" s="265" customFormat="1" ht="15">
      <c r="A15" s="1330" t="s">
        <v>1009</v>
      </c>
      <c r="B15" s="1210" t="s">
        <v>1010</v>
      </c>
      <c r="C15" s="1211"/>
      <c r="D15" s="1211"/>
      <c r="E15" s="1207">
        <f>IF(E18&gt;=0,E18,0)</f>
        <v>0</v>
      </c>
      <c r="F15" s="1207">
        <f>IF(F18&gt;=0,F18,0)</f>
        <v>0</v>
      </c>
      <c r="G15" s="1207"/>
      <c r="H15" s="1207"/>
      <c r="I15" s="1207"/>
      <c r="J15" s="1209">
        <f>IF(J18&gt;=0,J18,0)</f>
        <v>0</v>
      </c>
      <c r="K15" s="1298"/>
      <c r="L15" s="266"/>
      <c r="M15" s="260"/>
      <c r="N15" s="260"/>
      <c r="O15" s="260"/>
      <c r="P15" s="260"/>
      <c r="Q15" s="260"/>
      <c r="R15" s="260"/>
      <c r="S15" s="260"/>
      <c r="T15" s="260"/>
      <c r="U15" s="260"/>
      <c r="V15" s="260"/>
      <c r="W15" s="260"/>
      <c r="X15" s="260"/>
    </row>
    <row r="16" spans="1:24" s="265" customFormat="1">
      <c r="A16" s="1331" t="s">
        <v>1011</v>
      </c>
      <c r="B16" s="1332" t="s">
        <v>1012</v>
      </c>
      <c r="C16" s="1333"/>
      <c r="D16" s="1333"/>
      <c r="E16" s="1334">
        <f>IF(E18&lt;=0,E18,0)</f>
        <v>0</v>
      </c>
      <c r="F16" s="1334">
        <f>IF(F18&lt;=0,F18,0)</f>
        <v>0</v>
      </c>
      <c r="G16" s="1334"/>
      <c r="H16" s="1334"/>
      <c r="I16" s="1834">
        <f>IF(I18&lt;=0,I18,0)</f>
        <v>0</v>
      </c>
      <c r="J16" s="1334">
        <f>IF(J18&lt;=0,J18,0)</f>
        <v>0</v>
      </c>
      <c r="K16" s="1335"/>
      <c r="L16" s="260"/>
      <c r="M16" s="260"/>
      <c r="N16" s="260"/>
      <c r="O16" s="260"/>
      <c r="P16" s="260"/>
      <c r="Q16" s="260"/>
      <c r="R16" s="260"/>
      <c r="S16" s="260"/>
      <c r="T16" s="260"/>
      <c r="U16" s="260"/>
      <c r="V16" s="260"/>
      <c r="W16" s="260"/>
      <c r="X16" s="260"/>
    </row>
    <row r="17" spans="1:24" s="265" customFormat="1">
      <c r="A17" s="280"/>
      <c r="B17" s="281"/>
      <c r="C17" s="282"/>
      <c r="D17" s="282"/>
      <c r="E17" s="977"/>
      <c r="F17" s="977"/>
      <c r="G17" s="284"/>
      <c r="H17" s="978"/>
      <c r="I17" s="978"/>
      <c r="J17" s="978"/>
      <c r="K17" s="978"/>
      <c r="L17" s="260"/>
      <c r="M17" s="260"/>
      <c r="N17" s="260"/>
      <c r="O17" s="260"/>
      <c r="P17" s="260"/>
      <c r="Q17" s="260"/>
      <c r="R17" s="260"/>
      <c r="S17" s="260"/>
      <c r="T17" s="260"/>
      <c r="U17" s="260"/>
      <c r="V17" s="260"/>
      <c r="W17" s="260"/>
      <c r="X17" s="260"/>
    </row>
    <row r="18" spans="1:24" s="265" customFormat="1" ht="15.75">
      <c r="A18" s="59"/>
      <c r="B18" s="59"/>
      <c r="C18" s="59"/>
      <c r="D18" s="59"/>
      <c r="E18" s="1238">
        <f>'ANEXA 5  (2)'!C10-'ANEXA 7 CAPITOL 6608'!E8</f>
        <v>0</v>
      </c>
      <c r="F18" s="1238">
        <f>'ANEXA 5  (2)'!D10-'ANEXA 7 CAPITOL 6608'!F8</f>
        <v>0</v>
      </c>
      <c r="G18" s="979"/>
      <c r="I18" s="1238">
        <f>+'ANEXA 5  (2)'!H10-'ANEXA 6 (2)'!J13</f>
        <v>0</v>
      </c>
      <c r="L18" s="260"/>
      <c r="M18" s="260"/>
      <c r="N18" s="260"/>
      <c r="O18" s="260"/>
      <c r="P18" s="260"/>
      <c r="Q18" s="260"/>
      <c r="R18" s="260"/>
      <c r="S18" s="260"/>
      <c r="T18" s="260"/>
      <c r="U18" s="260"/>
      <c r="V18" s="260"/>
      <c r="W18" s="260"/>
      <c r="X18" s="260"/>
    </row>
    <row r="19" spans="1:24" s="265" customFormat="1" ht="15.75" customHeight="1">
      <c r="A19" s="3984" t="str">
        <f>'ANEXA 1'!B94</f>
        <v>DIRECTOR  GENERAL,</v>
      </c>
      <c r="B19" s="3984"/>
      <c r="C19" s="3984"/>
      <c r="D19" s="1544"/>
      <c r="E19" s="38"/>
      <c r="F19" s="616"/>
      <c r="G19" s="3984" t="str">
        <f>'ANEXA 1'!D94</f>
        <v>DIRECTOR  EXECUTIV  ECONOMIC,</v>
      </c>
      <c r="H19" s="3984"/>
      <c r="I19" s="3984"/>
      <c r="J19" s="3984"/>
      <c r="L19" s="288"/>
      <c r="M19" s="260"/>
      <c r="N19" s="260"/>
      <c r="O19" s="260"/>
      <c r="P19" s="260"/>
      <c r="Q19" s="260"/>
      <c r="R19" s="260"/>
      <c r="S19" s="260"/>
      <c r="T19" s="260"/>
      <c r="U19" s="260"/>
      <c r="V19" s="260"/>
      <c r="W19" s="260"/>
      <c r="X19" s="260"/>
    </row>
    <row r="20" spans="1:24" ht="15">
      <c r="G20" s="17"/>
      <c r="H20" s="17"/>
      <c r="I20" s="17"/>
      <c r="J20" s="17"/>
    </row>
    <row r="21" spans="1:24" ht="15.75">
      <c r="A21" s="4160" t="str">
        <f>'ANEXA 1'!B96</f>
        <v>EC.ALBU DRINA</v>
      </c>
      <c r="B21" s="4160"/>
      <c r="C21" s="4160"/>
      <c r="D21" s="1548"/>
      <c r="G21" s="4417" t="str">
        <f>'ANEXA 1'!D96</f>
        <v>EC.BIRCU FLORINA</v>
      </c>
      <c r="H21" s="4417"/>
      <c r="I21" s="4417"/>
      <c r="J21" s="4417"/>
    </row>
    <row r="22" spans="1:24" ht="14.25">
      <c r="A22" s="4159">
        <f>'ANEXA 1'!B97</f>
        <v>0</v>
      </c>
      <c r="B22" s="4159"/>
      <c r="C22" s="4159"/>
      <c r="D22" s="1547"/>
    </row>
    <row r="23" spans="1:24">
      <c r="J23" s="1598"/>
      <c r="K23" s="1598"/>
    </row>
    <row r="24" spans="1:24">
      <c r="I24" s="1461"/>
      <c r="J24" s="1545"/>
      <c r="K24" s="1461"/>
    </row>
    <row r="25" spans="1:24" ht="15">
      <c r="A25" s="4149">
        <f>+'ANEXA 1'!B99</f>
        <v>0</v>
      </c>
      <c r="B25" s="4150"/>
      <c r="C25" s="4150"/>
      <c r="G25" s="4017">
        <f>'ANEXA 1'!D99</f>
        <v>0</v>
      </c>
      <c r="H25" s="4017"/>
      <c r="I25" s="4017"/>
      <c r="J25" s="4017"/>
    </row>
    <row r="26" spans="1:24" ht="15">
      <c r="A26" s="133"/>
      <c r="B26" s="725"/>
      <c r="C26" s="133"/>
      <c r="J26" s="1550"/>
    </row>
    <row r="27" spans="1:24" ht="15">
      <c r="A27" s="4150">
        <f>+'ANEXA 1'!B101</f>
        <v>0</v>
      </c>
      <c r="B27" s="4150"/>
      <c r="C27" s="4150"/>
      <c r="G27" s="4017">
        <f>'ANEXA 1'!D101</f>
        <v>0</v>
      </c>
      <c r="H27" s="4017"/>
      <c r="I27" s="4017"/>
      <c r="J27" s="4017"/>
    </row>
    <row r="32" spans="1:24" ht="13.5" customHeight="1"/>
    <row r="33" ht="13.5" customHeight="1"/>
    <row r="39" ht="15.75" customHeight="1"/>
  </sheetData>
  <mergeCells count="21">
    <mergeCell ref="K5:K6"/>
    <mergeCell ref="A19:C19"/>
    <mergeCell ref="G19:J19"/>
    <mergeCell ref="A21:C21"/>
    <mergeCell ref="G21:J21"/>
    <mergeCell ref="G27:J27"/>
    <mergeCell ref="G25:J25"/>
    <mergeCell ref="A25:C25"/>
    <mergeCell ref="A27:C27"/>
    <mergeCell ref="A1:G1"/>
    <mergeCell ref="A2:K2"/>
    <mergeCell ref="A3:K3"/>
    <mergeCell ref="A5:A6"/>
    <mergeCell ref="B5:B6"/>
    <mergeCell ref="E5:F5"/>
    <mergeCell ref="G5:G6"/>
    <mergeCell ref="H5:H6"/>
    <mergeCell ref="I5:I6"/>
    <mergeCell ref="J5:J6"/>
    <mergeCell ref="C5:D5"/>
    <mergeCell ref="A22:C22"/>
  </mergeCells>
  <phoneticPr fontId="0" type="noConversion"/>
  <dataValidations count="1">
    <dataValidation type="whole" allowBlank="1" showErrorMessage="1" sqref="I8:I12 I14:I15 J8:K15 C8:H15">
      <formula1>0</formula1>
      <formula2>9.99999999999999E+26</formula2>
    </dataValidation>
  </dataValidations>
  <pageMargins left="0.70866141732283472" right="0.70866141732283472" top="0.74803149606299213" bottom="0.74803149606299213" header="0.51181102362204722" footer="0.51181102362204722"/>
  <pageSetup paperSize="9" scale="74" firstPageNumber="0" orientation="landscape" horizontalDpi="300" verticalDpi="300" r:id="rId1"/>
  <headerFooter alignWithMargins="0">
    <oddFoote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7"/>
  <dimension ref="A1:F117"/>
  <sheetViews>
    <sheetView showZeros="0" zoomScaleNormal="100" workbookViewId="0">
      <selection activeCell="E22" sqref="E22"/>
    </sheetView>
  </sheetViews>
  <sheetFormatPr defaultColWidth="9.140625" defaultRowHeight="12.75"/>
  <cols>
    <col min="1" max="1" width="60" style="560" customWidth="1"/>
    <col min="2" max="2" width="7" style="560" customWidth="1"/>
    <col min="3" max="3" width="15.140625" style="560" customWidth="1"/>
    <col min="4" max="4" width="13.7109375" style="560" customWidth="1"/>
    <col min="5" max="5" width="15" style="560" customWidth="1"/>
    <col min="6" max="6" width="9.140625" style="561"/>
    <col min="7" max="16384" width="9.140625" style="560"/>
  </cols>
  <sheetData>
    <row r="1" spans="1:6" ht="15.75">
      <c r="A1" s="4019" t="str">
        <f>'ANEXA 1'!A1</f>
        <v>CASA  DE  ASIGURĂRI  DE  SĂNĂTATE MEHEDINTI</v>
      </c>
      <c r="B1" s="4019"/>
      <c r="C1" s="4019"/>
      <c r="D1" s="562"/>
    </row>
    <row r="2" spans="1:6" ht="15">
      <c r="A2" s="563"/>
      <c r="B2" s="563"/>
      <c r="C2" s="1"/>
      <c r="D2" s="564" t="s">
        <v>1303</v>
      </c>
      <c r="E2" s="565"/>
      <c r="F2" s="566"/>
    </row>
    <row r="3" spans="1:6" ht="15.75">
      <c r="A3" s="567"/>
      <c r="B3" s="563"/>
      <c r="C3" s="563"/>
      <c r="D3" s="1"/>
      <c r="E3" s="165"/>
      <c r="F3" s="566"/>
    </row>
    <row r="4" spans="1:6" ht="18">
      <c r="A4" s="4433" t="s">
        <v>1304</v>
      </c>
      <c r="B4" s="4433"/>
      <c r="C4" s="4433"/>
      <c r="D4" s="4433"/>
      <c r="E4" s="4433"/>
      <c r="F4" s="566"/>
    </row>
    <row r="5" spans="1:6">
      <c r="A5" s="4434" t="str">
        <f>'ANEXA 1'!A12</f>
        <v>la  data  de  30  IUNIE  2023</v>
      </c>
      <c r="B5" s="4434"/>
      <c r="C5" s="4434"/>
      <c r="D5" s="4434"/>
      <c r="E5" s="4434"/>
      <c r="F5" s="566"/>
    </row>
    <row r="6" spans="1:6">
      <c r="A6" s="568" t="s">
        <v>1305</v>
      </c>
      <c r="B6" s="568"/>
      <c r="E6" s="558" t="s">
        <v>271</v>
      </c>
      <c r="F6" s="566"/>
    </row>
    <row r="7" spans="1:6" ht="30" customHeight="1">
      <c r="A7" s="4420" t="s">
        <v>88</v>
      </c>
      <c r="B7" s="4423" t="s">
        <v>180</v>
      </c>
      <c r="C7" s="4423" t="s">
        <v>1115</v>
      </c>
      <c r="D7" s="4427" t="s">
        <v>1306</v>
      </c>
      <c r="E7" s="4428"/>
    </row>
    <row r="8" spans="1:6" ht="39.75" customHeight="1">
      <c r="A8" s="4421"/>
      <c r="B8" s="4424"/>
      <c r="C8" s="4424"/>
      <c r="D8" s="4429" t="s">
        <v>231</v>
      </c>
      <c r="E8" s="4431" t="s">
        <v>1307</v>
      </c>
    </row>
    <row r="9" spans="1:6" ht="29.25" customHeight="1">
      <c r="A9" s="4422"/>
      <c r="B9" s="4425"/>
      <c r="C9" s="4425"/>
      <c r="D9" s="4430"/>
      <c r="E9" s="4432"/>
    </row>
    <row r="10" spans="1:6" ht="13.5" customHeight="1">
      <c r="A10" s="3795" t="s">
        <v>92</v>
      </c>
      <c r="B10" s="3796" t="s">
        <v>93</v>
      </c>
      <c r="C10" s="3797" t="s">
        <v>1308</v>
      </c>
      <c r="D10" s="3798" t="s">
        <v>98</v>
      </c>
      <c r="E10" s="3799" t="s">
        <v>100</v>
      </c>
    </row>
    <row r="11" spans="1:6" ht="30">
      <c r="A11" s="3790" t="s">
        <v>1309</v>
      </c>
      <c r="B11" s="3791" t="s">
        <v>96</v>
      </c>
      <c r="C11" s="3792">
        <f t="shared" ref="C11:E14" si="0">C17+C24+C66+C73+C83+C89+C95</f>
        <v>10084237</v>
      </c>
      <c r="D11" s="3793">
        <f t="shared" si="0"/>
        <v>3102914</v>
      </c>
      <c r="E11" s="3794">
        <f t="shared" si="0"/>
        <v>3102914</v>
      </c>
    </row>
    <row r="12" spans="1:6" ht="15">
      <c r="A12" s="2639" t="s">
        <v>1310</v>
      </c>
      <c r="B12" s="2640" t="s">
        <v>98</v>
      </c>
      <c r="C12" s="2641">
        <f t="shared" si="0"/>
        <v>10084237</v>
      </c>
      <c r="D12" s="2642">
        <f t="shared" si="0"/>
        <v>3102914</v>
      </c>
      <c r="E12" s="2643">
        <f t="shared" si="0"/>
        <v>3102914</v>
      </c>
    </row>
    <row r="13" spans="1:6" ht="14.25">
      <c r="A13" s="2644" t="s">
        <v>1311</v>
      </c>
      <c r="B13" s="2645" t="s">
        <v>100</v>
      </c>
      <c r="C13" s="2641">
        <f t="shared" si="0"/>
        <v>0</v>
      </c>
      <c r="D13" s="2642">
        <f t="shared" si="0"/>
        <v>0</v>
      </c>
      <c r="E13" s="2643">
        <f t="shared" si="0"/>
        <v>0</v>
      </c>
    </row>
    <row r="14" spans="1:6" ht="14.25">
      <c r="A14" s="2644" t="s">
        <v>1312</v>
      </c>
      <c r="B14" s="2645" t="s">
        <v>102</v>
      </c>
      <c r="C14" s="2641">
        <f t="shared" si="0"/>
        <v>0</v>
      </c>
      <c r="D14" s="2642">
        <f t="shared" si="0"/>
        <v>0</v>
      </c>
      <c r="E14" s="2643">
        <f t="shared" si="0"/>
        <v>0</v>
      </c>
    </row>
    <row r="15" spans="1:6" ht="14.25">
      <c r="A15" s="2644" t="s">
        <v>1313</v>
      </c>
      <c r="B15" s="2645" t="s">
        <v>104</v>
      </c>
      <c r="C15" s="2646">
        <f>C22+C28+C71+C81+C87+C93+C99</f>
        <v>0</v>
      </c>
      <c r="D15" s="2647">
        <f>D22+D28+D71+D81+D87+D93+D99</f>
        <v>0</v>
      </c>
      <c r="E15" s="2648">
        <f>E22+E28+E71+E81+E87+E93+E99</f>
        <v>0</v>
      </c>
    </row>
    <row r="16" spans="1:6" ht="14.25">
      <c r="A16" s="2644" t="s">
        <v>1314</v>
      </c>
      <c r="B16" s="2645" t="s">
        <v>107</v>
      </c>
      <c r="C16" s="2641">
        <f>C23+C29+C72+C88+C94+C100+C82</f>
        <v>0</v>
      </c>
      <c r="D16" s="2642">
        <f>D23+D29+D72+D88+D94+D100+D82</f>
        <v>0</v>
      </c>
      <c r="E16" s="2643">
        <f>E23+E29+E72+E88+E94+E100+E82</f>
        <v>0</v>
      </c>
    </row>
    <row r="17" spans="1:6" ht="58.5">
      <c r="A17" s="2639" t="s">
        <v>1315</v>
      </c>
      <c r="B17" s="2649" t="s">
        <v>110</v>
      </c>
      <c r="C17" s="2650">
        <f>C18+C19+C20+C22+C23</f>
        <v>10084237</v>
      </c>
      <c r="D17" s="2651">
        <f>D18+D19+D20+D22+D23</f>
        <v>3102914</v>
      </c>
      <c r="E17" s="2652">
        <f>E18+E19+E20+E22+E23</f>
        <v>3102914</v>
      </c>
    </row>
    <row r="18" spans="1:6" ht="14.25" customHeight="1">
      <c r="A18" s="2639" t="s">
        <v>1316</v>
      </c>
      <c r="B18" s="2653" t="s">
        <v>1317</v>
      </c>
      <c r="C18" s="3952">
        <v>10084237</v>
      </c>
      <c r="D18" s="2655">
        <v>3102914</v>
      </c>
      <c r="E18" s="2656">
        <f>D18</f>
        <v>3102914</v>
      </c>
    </row>
    <row r="19" spans="1:6" ht="14.25">
      <c r="A19" s="2644" t="s">
        <v>1318</v>
      </c>
      <c r="B19" s="2645" t="s">
        <v>112</v>
      </c>
      <c r="C19" s="2654"/>
      <c r="D19" s="2655"/>
      <c r="E19" s="2656">
        <f>D19</f>
        <v>0</v>
      </c>
    </row>
    <row r="20" spans="1:6" ht="14.25">
      <c r="A20" s="2644" t="s">
        <v>1319</v>
      </c>
      <c r="B20" s="2645" t="s">
        <v>114</v>
      </c>
      <c r="C20" s="2654"/>
      <c r="D20" s="2655"/>
      <c r="E20" s="2657">
        <f t="shared" ref="E20:E23" si="1">D20</f>
        <v>0</v>
      </c>
    </row>
    <row r="21" spans="1:6" ht="14.25">
      <c r="A21" s="2644" t="s">
        <v>1320</v>
      </c>
      <c r="B21" s="2645" t="s">
        <v>1321</v>
      </c>
      <c r="C21" s="2654"/>
      <c r="D21" s="2655"/>
      <c r="E21" s="2657">
        <f t="shared" si="1"/>
        <v>0</v>
      </c>
    </row>
    <row r="22" spans="1:6" ht="14.25">
      <c r="A22" s="2644" t="s">
        <v>1322</v>
      </c>
      <c r="B22" s="2645" t="s">
        <v>345</v>
      </c>
      <c r="C22" s="2654"/>
      <c r="D22" s="2655"/>
      <c r="E22" s="2657">
        <f t="shared" si="1"/>
        <v>0</v>
      </c>
    </row>
    <row r="23" spans="1:6" ht="14.25">
      <c r="A23" s="2644" t="s">
        <v>1323</v>
      </c>
      <c r="B23" s="2645" t="s">
        <v>33</v>
      </c>
      <c r="C23" s="2654"/>
      <c r="D23" s="2655"/>
      <c r="E23" s="2657">
        <f t="shared" si="1"/>
        <v>0</v>
      </c>
    </row>
    <row r="24" spans="1:6" ht="30">
      <c r="A24" s="2658" t="s">
        <v>1324</v>
      </c>
      <c r="B24" s="2649" t="s">
        <v>434</v>
      </c>
      <c r="C24" s="2650">
        <f t="shared" ref="C24:C29" si="2">C30+C36+C42+C60</f>
        <v>0</v>
      </c>
      <c r="D24" s="2651">
        <f t="shared" ref="D24:D29" si="3">D30+D36+D42+D60</f>
        <v>0</v>
      </c>
      <c r="E24" s="2652">
        <f t="shared" ref="E24:E29" si="4">E30+E36+E42+E60</f>
        <v>0</v>
      </c>
      <c r="F24" s="129" t="str">
        <f>IF(D24&lt;&gt;0,"EROARE"," ")</f>
        <v xml:space="preserve"> </v>
      </c>
    </row>
    <row r="25" spans="1:6" ht="15">
      <c r="A25" s="2658" t="s">
        <v>1325</v>
      </c>
      <c r="B25" s="2640" t="s">
        <v>1326</v>
      </c>
      <c r="C25" s="2641">
        <f t="shared" si="2"/>
        <v>0</v>
      </c>
      <c r="D25" s="2642">
        <f t="shared" si="3"/>
        <v>0</v>
      </c>
      <c r="E25" s="2643">
        <f t="shared" si="4"/>
        <v>0</v>
      </c>
    </row>
    <row r="26" spans="1:6" ht="14.25">
      <c r="A26" s="2644" t="s">
        <v>1327</v>
      </c>
      <c r="B26" s="2645" t="s">
        <v>436</v>
      </c>
      <c r="C26" s="2641">
        <f t="shared" si="2"/>
        <v>0</v>
      </c>
      <c r="D26" s="2642">
        <f t="shared" si="3"/>
        <v>0</v>
      </c>
      <c r="E26" s="2643">
        <f t="shared" si="4"/>
        <v>0</v>
      </c>
    </row>
    <row r="27" spans="1:6" ht="14.25">
      <c r="A27" s="2644" t="s">
        <v>1328</v>
      </c>
      <c r="B27" s="2645" t="s">
        <v>438</v>
      </c>
      <c r="C27" s="2641">
        <f t="shared" si="2"/>
        <v>0</v>
      </c>
      <c r="D27" s="2642">
        <f t="shared" si="3"/>
        <v>0</v>
      </c>
      <c r="E27" s="2643">
        <f t="shared" si="4"/>
        <v>0</v>
      </c>
    </row>
    <row r="28" spans="1:6" ht="14.25">
      <c r="A28" s="2644" t="s">
        <v>1329</v>
      </c>
      <c r="B28" s="2645" t="s">
        <v>440</v>
      </c>
      <c r="C28" s="2641">
        <f t="shared" si="2"/>
        <v>0</v>
      </c>
      <c r="D28" s="2642">
        <f t="shared" si="3"/>
        <v>0</v>
      </c>
      <c r="E28" s="2643">
        <f t="shared" si="4"/>
        <v>0</v>
      </c>
    </row>
    <row r="29" spans="1:6" ht="14.25">
      <c r="A29" s="2644" t="s">
        <v>1330</v>
      </c>
      <c r="B29" s="2645" t="s">
        <v>442</v>
      </c>
      <c r="C29" s="2641">
        <f t="shared" si="2"/>
        <v>0</v>
      </c>
      <c r="D29" s="2642">
        <f t="shared" si="3"/>
        <v>0</v>
      </c>
      <c r="E29" s="2643">
        <f t="shared" si="4"/>
        <v>0</v>
      </c>
    </row>
    <row r="30" spans="1:6" ht="58.5">
      <c r="A30" s="2639" t="s">
        <v>1331</v>
      </c>
      <c r="B30" s="2659" t="s">
        <v>444</v>
      </c>
      <c r="C30" s="2650">
        <f>C31+C32+C33+C34+C35</f>
        <v>0</v>
      </c>
      <c r="D30" s="2651">
        <f>D31+D32+D33+D34+D35</f>
        <v>0</v>
      </c>
      <c r="E30" s="2652">
        <f>E31+E32+E33+E34+E35</f>
        <v>0</v>
      </c>
      <c r="F30" s="129" t="str">
        <f>IF(D30&lt;&gt;0,"EROARE"," ")</f>
        <v xml:space="preserve"> </v>
      </c>
    </row>
    <row r="31" spans="1:6" ht="15" customHeight="1">
      <c r="A31" s="2660" t="s">
        <v>1332</v>
      </c>
      <c r="B31" s="2645" t="s">
        <v>1333</v>
      </c>
      <c r="C31" s="2654"/>
      <c r="D31" s="2655"/>
      <c r="E31" s="2661"/>
    </row>
    <row r="32" spans="1:6" ht="14.25">
      <c r="A32" s="2644" t="s">
        <v>1334</v>
      </c>
      <c r="B32" s="2645" t="s">
        <v>1335</v>
      </c>
      <c r="C32" s="2654"/>
      <c r="D32" s="2655"/>
      <c r="E32" s="2661"/>
    </row>
    <row r="33" spans="1:6" ht="14.25">
      <c r="A33" s="2644" t="s">
        <v>1336</v>
      </c>
      <c r="B33" s="2645" t="s">
        <v>1337</v>
      </c>
      <c r="C33" s="2654"/>
      <c r="D33" s="2655"/>
      <c r="E33" s="2661"/>
    </row>
    <row r="34" spans="1:6" ht="14.25">
      <c r="A34" s="2644" t="s">
        <v>1322</v>
      </c>
      <c r="B34" s="2645" t="s">
        <v>1338</v>
      </c>
      <c r="C34" s="2654"/>
      <c r="D34" s="2655"/>
      <c r="E34" s="2661"/>
    </row>
    <row r="35" spans="1:6" ht="14.25">
      <c r="A35" s="2644" t="s">
        <v>1323</v>
      </c>
      <c r="B35" s="2645" t="s">
        <v>1339</v>
      </c>
      <c r="C35" s="2654"/>
      <c r="D35" s="2655"/>
      <c r="E35" s="2661"/>
    </row>
    <row r="36" spans="1:6" ht="58.5">
      <c r="A36" s="2658" t="s">
        <v>1340</v>
      </c>
      <c r="B36" s="2659" t="s">
        <v>446</v>
      </c>
      <c r="C36" s="2650">
        <f>C37+C38+C39+C40+C41</f>
        <v>0</v>
      </c>
      <c r="D36" s="2651">
        <f>D37+D38+D39+D40+D41</f>
        <v>0</v>
      </c>
      <c r="E36" s="2652">
        <f>E37+E38+E39+E40+E41</f>
        <v>0</v>
      </c>
      <c r="F36" s="129" t="str">
        <f>IF(D36&lt;&gt;0,"EROARE"," ")</f>
        <v xml:space="preserve"> </v>
      </c>
    </row>
    <row r="37" spans="1:6" ht="15">
      <c r="A37" s="2658" t="s">
        <v>1341</v>
      </c>
      <c r="B37" s="2645" t="s">
        <v>1342</v>
      </c>
      <c r="C37" s="2654"/>
      <c r="D37" s="2655"/>
      <c r="E37" s="2661"/>
    </row>
    <row r="38" spans="1:6" ht="14.25">
      <c r="A38" s="2662" t="s">
        <v>1343</v>
      </c>
      <c r="B38" s="2645" t="s">
        <v>1344</v>
      </c>
      <c r="C38" s="2654"/>
      <c r="D38" s="2655"/>
      <c r="E38" s="2661"/>
    </row>
    <row r="39" spans="1:6" ht="14.25">
      <c r="A39" s="2662" t="s">
        <v>1345</v>
      </c>
      <c r="B39" s="2645" t="s">
        <v>1346</v>
      </c>
      <c r="C39" s="2654"/>
      <c r="D39" s="2655"/>
      <c r="E39" s="2661"/>
    </row>
    <row r="40" spans="1:6" ht="14.25">
      <c r="A40" s="2662" t="s">
        <v>1347</v>
      </c>
      <c r="B40" s="2645" t="s">
        <v>1348</v>
      </c>
      <c r="C40" s="2654"/>
      <c r="D40" s="2655"/>
      <c r="E40" s="2661"/>
    </row>
    <row r="41" spans="1:6" ht="14.25">
      <c r="A41" s="2663" t="s">
        <v>1349</v>
      </c>
      <c r="B41" s="2664" t="s">
        <v>1350</v>
      </c>
      <c r="C41" s="2665"/>
      <c r="D41" s="2666"/>
      <c r="E41" s="2667"/>
    </row>
    <row r="42" spans="1:6" ht="30">
      <c r="A42" s="2668" t="s">
        <v>1351</v>
      </c>
      <c r="B42" s="599" t="s">
        <v>1106</v>
      </c>
      <c r="C42" s="574">
        <f t="shared" ref="C42:C47" si="5">C48+C54</f>
        <v>0</v>
      </c>
      <c r="D42" s="575">
        <f t="shared" ref="D42:D47" si="6">D48+D54</f>
        <v>0</v>
      </c>
      <c r="E42" s="2638">
        <f t="shared" ref="E42:E47" si="7">E48+E54</f>
        <v>0</v>
      </c>
      <c r="F42" s="129" t="str">
        <f>IF(D42&lt;&gt;0,"EROARE"," ")</f>
        <v xml:space="preserve"> </v>
      </c>
    </row>
    <row r="43" spans="1:6" ht="15">
      <c r="A43" s="2658" t="s">
        <v>1352</v>
      </c>
      <c r="B43" s="2645" t="s">
        <v>1353</v>
      </c>
      <c r="C43" s="2641">
        <f t="shared" si="5"/>
        <v>0</v>
      </c>
      <c r="D43" s="2642">
        <f t="shared" si="6"/>
        <v>0</v>
      </c>
      <c r="E43" s="2643">
        <f t="shared" si="7"/>
        <v>0</v>
      </c>
    </row>
    <row r="44" spans="1:6" ht="14.25">
      <c r="A44" s="2662" t="s">
        <v>1354</v>
      </c>
      <c r="B44" s="2645" t="s">
        <v>1355</v>
      </c>
      <c r="C44" s="2641">
        <f t="shared" si="5"/>
        <v>0</v>
      </c>
      <c r="D44" s="2642">
        <f t="shared" si="6"/>
        <v>0</v>
      </c>
      <c r="E44" s="2643">
        <f t="shared" si="7"/>
        <v>0</v>
      </c>
    </row>
    <row r="45" spans="1:6" ht="14.25">
      <c r="A45" s="2662" t="s">
        <v>1356</v>
      </c>
      <c r="B45" s="2645" t="s">
        <v>1357</v>
      </c>
      <c r="C45" s="2641">
        <f t="shared" si="5"/>
        <v>0</v>
      </c>
      <c r="D45" s="2642">
        <f t="shared" si="6"/>
        <v>0</v>
      </c>
      <c r="E45" s="2643">
        <f t="shared" si="7"/>
        <v>0</v>
      </c>
    </row>
    <row r="46" spans="1:6" ht="14.25">
      <c r="A46" s="2662" t="s">
        <v>1358</v>
      </c>
      <c r="B46" s="2645" t="s">
        <v>1359</v>
      </c>
      <c r="C46" s="2641">
        <f t="shared" si="5"/>
        <v>0</v>
      </c>
      <c r="D46" s="2642">
        <f t="shared" si="6"/>
        <v>0</v>
      </c>
      <c r="E46" s="2643">
        <f t="shared" si="7"/>
        <v>0</v>
      </c>
    </row>
    <row r="47" spans="1:6" ht="14.25">
      <c r="A47" s="2662" t="s">
        <v>1360</v>
      </c>
      <c r="B47" s="2645" t="s">
        <v>1361</v>
      </c>
      <c r="C47" s="2641">
        <f t="shared" si="5"/>
        <v>0</v>
      </c>
      <c r="D47" s="2642">
        <f t="shared" si="6"/>
        <v>0</v>
      </c>
      <c r="E47" s="2643">
        <f t="shared" si="7"/>
        <v>0</v>
      </c>
    </row>
    <row r="48" spans="1:6" ht="43.5">
      <c r="A48" s="2644" t="s">
        <v>363</v>
      </c>
      <c r="B48" s="2645" t="s">
        <v>713</v>
      </c>
      <c r="C48" s="2641">
        <f>C49+C50+C51+C52+C53</f>
        <v>0</v>
      </c>
      <c r="D48" s="2642">
        <f>D49+D50+D51+D52+D53</f>
        <v>0</v>
      </c>
      <c r="E48" s="2643">
        <f>E49+E50+E51+E52+E53</f>
        <v>0</v>
      </c>
      <c r="F48" s="129" t="str">
        <f>IF(D48&lt;&gt;0,"EROARE"," ")</f>
        <v xml:space="preserve"> </v>
      </c>
    </row>
    <row r="49" spans="1:6" ht="15">
      <c r="A49" s="2660" t="s">
        <v>1341</v>
      </c>
      <c r="B49" s="2645" t="s">
        <v>364</v>
      </c>
      <c r="C49" s="2654"/>
      <c r="D49" s="2655"/>
      <c r="E49" s="2661"/>
    </row>
    <row r="50" spans="1:6" ht="14.25">
      <c r="A50" s="2644" t="s">
        <v>1343</v>
      </c>
      <c r="B50" s="2669" t="s">
        <v>365</v>
      </c>
      <c r="C50" s="2654"/>
      <c r="D50" s="2655"/>
      <c r="E50" s="2661"/>
    </row>
    <row r="51" spans="1:6" ht="14.25">
      <c r="A51" s="2644" t="s">
        <v>1345</v>
      </c>
      <c r="B51" s="2645" t="s">
        <v>366</v>
      </c>
      <c r="C51" s="2654"/>
      <c r="D51" s="2655"/>
      <c r="E51" s="2661"/>
    </row>
    <row r="52" spans="1:6" ht="14.25">
      <c r="A52" s="2644" t="s">
        <v>1347</v>
      </c>
      <c r="B52" s="2645" t="s">
        <v>367</v>
      </c>
      <c r="C52" s="2654"/>
      <c r="D52" s="2655"/>
      <c r="E52" s="2661"/>
    </row>
    <row r="53" spans="1:6" ht="14.25">
      <c r="A53" s="2644" t="s">
        <v>1349</v>
      </c>
      <c r="B53" s="2645" t="s">
        <v>368</v>
      </c>
      <c r="C53" s="2654"/>
      <c r="D53" s="2655"/>
      <c r="E53" s="2661"/>
    </row>
    <row r="54" spans="1:6" ht="43.5">
      <c r="A54" s="2644" t="s">
        <v>369</v>
      </c>
      <c r="B54" s="2645" t="s">
        <v>725</v>
      </c>
      <c r="C54" s="2641">
        <f>C55+C56+C57+C58+C59</f>
        <v>0</v>
      </c>
      <c r="D54" s="2642">
        <f>D55+D56+D57+D58+D59</f>
        <v>0</v>
      </c>
      <c r="E54" s="2643">
        <f>E55+E56+E57+E58+E59</f>
        <v>0</v>
      </c>
      <c r="F54" s="129" t="str">
        <f>IF(D54&lt;&gt;0,"EROARE"," ")</f>
        <v xml:space="preserve"> </v>
      </c>
    </row>
    <row r="55" spans="1:6" ht="14.25">
      <c r="A55" s="2644" t="s">
        <v>370</v>
      </c>
      <c r="B55" s="2645" t="s">
        <v>120</v>
      </c>
      <c r="C55" s="2654"/>
      <c r="D55" s="2655"/>
      <c r="E55" s="2661"/>
    </row>
    <row r="56" spans="1:6" ht="14.25">
      <c r="A56" s="2644" t="s">
        <v>1343</v>
      </c>
      <c r="B56" s="2645" t="s">
        <v>371</v>
      </c>
      <c r="C56" s="2654"/>
      <c r="D56" s="2655"/>
      <c r="E56" s="2661"/>
    </row>
    <row r="57" spans="1:6" ht="14.25">
      <c r="A57" s="2644" t="s">
        <v>1345</v>
      </c>
      <c r="B57" s="2645" t="s">
        <v>372</v>
      </c>
      <c r="C57" s="2654"/>
      <c r="D57" s="2655"/>
      <c r="E57" s="2661"/>
    </row>
    <row r="58" spans="1:6" ht="14.25">
      <c r="A58" s="2644" t="s">
        <v>1347</v>
      </c>
      <c r="B58" s="2645" t="s">
        <v>373</v>
      </c>
      <c r="C58" s="2654"/>
      <c r="D58" s="2655"/>
      <c r="E58" s="2661"/>
    </row>
    <row r="59" spans="1:6" ht="14.25">
      <c r="A59" s="2644" t="s">
        <v>1349</v>
      </c>
      <c r="B59" s="2645" t="s">
        <v>374</v>
      </c>
      <c r="C59" s="2654"/>
      <c r="D59" s="2655"/>
      <c r="E59" s="2661"/>
    </row>
    <row r="60" spans="1:6" ht="44.25">
      <c r="A60" s="2639" t="s">
        <v>375</v>
      </c>
      <c r="B60" s="2649" t="s">
        <v>1191</v>
      </c>
      <c r="C60" s="2650">
        <f>C61+C62+C63+C64+C65</f>
        <v>0</v>
      </c>
      <c r="D60" s="2651">
        <f>D61+D62+D63+D64+D65</f>
        <v>0</v>
      </c>
      <c r="E60" s="2652">
        <f>E61+E62+E63+E64+E65</f>
        <v>0</v>
      </c>
      <c r="F60" s="129" t="str">
        <f>IF(D60&lt;&gt;0,"EROARE"," ")</f>
        <v xml:space="preserve"> </v>
      </c>
    </row>
    <row r="61" spans="1:6" ht="15">
      <c r="A61" s="2639" t="s">
        <v>376</v>
      </c>
      <c r="B61" s="2640" t="s">
        <v>122</v>
      </c>
      <c r="C61" s="2654"/>
      <c r="D61" s="2655"/>
      <c r="E61" s="2661"/>
    </row>
    <row r="62" spans="1:6" ht="14.25">
      <c r="A62" s="2644" t="s">
        <v>1318</v>
      </c>
      <c r="B62" s="2645" t="s">
        <v>377</v>
      </c>
      <c r="C62" s="2654"/>
      <c r="D62" s="2655"/>
      <c r="E62" s="2661"/>
    </row>
    <row r="63" spans="1:6" ht="14.25">
      <c r="A63" s="2644" t="s">
        <v>378</v>
      </c>
      <c r="B63" s="2645" t="s">
        <v>379</v>
      </c>
      <c r="C63" s="2654"/>
      <c r="D63" s="2655"/>
      <c r="E63" s="2661"/>
    </row>
    <row r="64" spans="1:6" ht="14.25">
      <c r="A64" s="2644" t="s">
        <v>1322</v>
      </c>
      <c r="B64" s="2645" t="s">
        <v>380</v>
      </c>
      <c r="C64" s="2654"/>
      <c r="D64" s="2655"/>
      <c r="E64" s="2661"/>
    </row>
    <row r="65" spans="1:5" s="560" customFormat="1" ht="14.25">
      <c r="A65" s="2644" t="s">
        <v>1323</v>
      </c>
      <c r="B65" s="2645" t="s">
        <v>381</v>
      </c>
      <c r="C65" s="2654"/>
      <c r="D65" s="2655"/>
      <c r="E65" s="2661"/>
    </row>
    <row r="66" spans="1:5" s="560" customFormat="1" ht="43.5">
      <c r="A66" s="2658" t="s">
        <v>382</v>
      </c>
      <c r="B66" s="2649" t="s">
        <v>383</v>
      </c>
      <c r="C66" s="2650">
        <f>C67+C68+C69+C71+C72</f>
        <v>0</v>
      </c>
      <c r="D66" s="2651">
        <f>D67+D68+D69+D71+D72</f>
        <v>0</v>
      </c>
      <c r="E66" s="2652">
        <f>E67+E68+E69+E71+E72</f>
        <v>0</v>
      </c>
    </row>
    <row r="67" spans="1:5" s="560" customFormat="1" ht="15">
      <c r="A67" s="2658" t="s">
        <v>384</v>
      </c>
      <c r="B67" s="2640" t="s">
        <v>385</v>
      </c>
      <c r="C67" s="2654"/>
      <c r="D67" s="2655"/>
      <c r="E67" s="2661"/>
    </row>
    <row r="68" spans="1:5" s="560" customFormat="1" ht="14.25">
      <c r="A68" s="2644" t="s">
        <v>1318</v>
      </c>
      <c r="B68" s="2645" t="s">
        <v>386</v>
      </c>
      <c r="C68" s="2654"/>
      <c r="D68" s="2655"/>
      <c r="E68" s="2661"/>
    </row>
    <row r="69" spans="1:5" s="560" customFormat="1" ht="14.25">
      <c r="A69" s="2644" t="s">
        <v>378</v>
      </c>
      <c r="B69" s="2645" t="s">
        <v>387</v>
      </c>
      <c r="C69" s="2654"/>
      <c r="D69" s="2655"/>
      <c r="E69" s="2661"/>
    </row>
    <row r="70" spans="1:5" s="560" customFormat="1" ht="14.25">
      <c r="A70" s="2644" t="s">
        <v>388</v>
      </c>
      <c r="B70" s="2645" t="s">
        <v>218</v>
      </c>
      <c r="C70" s="2654"/>
      <c r="D70" s="2655"/>
      <c r="E70" s="2661"/>
    </row>
    <row r="71" spans="1:5" s="560" customFormat="1" ht="21" customHeight="1">
      <c r="A71" s="2644" t="s">
        <v>1322</v>
      </c>
      <c r="B71" s="2645" t="s">
        <v>759</v>
      </c>
      <c r="C71" s="2654"/>
      <c r="D71" s="2655"/>
      <c r="E71" s="2661"/>
    </row>
    <row r="72" spans="1:5" s="560" customFormat="1" ht="29.25" customHeight="1">
      <c r="A72" s="2644" t="s">
        <v>1323</v>
      </c>
      <c r="B72" s="2645" t="s">
        <v>763</v>
      </c>
      <c r="C72" s="2654"/>
      <c r="D72" s="2655"/>
      <c r="E72" s="2661"/>
    </row>
    <row r="73" spans="1:5" s="560" customFormat="1" ht="57.75">
      <c r="A73" s="2639" t="s">
        <v>389</v>
      </c>
      <c r="B73" s="2649" t="s">
        <v>390</v>
      </c>
      <c r="C73" s="2650">
        <f>C74+C75+C76+C81+C82</f>
        <v>0</v>
      </c>
      <c r="D73" s="2651">
        <f>D74+D75+D76+D81+D82</f>
        <v>0</v>
      </c>
      <c r="E73" s="2652">
        <f>E74+E75+E76+E81+E82</f>
        <v>0</v>
      </c>
    </row>
    <row r="74" spans="1:5" s="560" customFormat="1" ht="19.5" customHeight="1">
      <c r="A74" s="2639" t="s">
        <v>391</v>
      </c>
      <c r="B74" s="2640" t="s">
        <v>392</v>
      </c>
      <c r="C74" s="2654"/>
      <c r="D74" s="2655"/>
      <c r="E74" s="2661"/>
    </row>
    <row r="75" spans="1:5" s="560" customFormat="1" ht="14.25">
      <c r="A75" s="2644" t="s">
        <v>393</v>
      </c>
      <c r="B75" s="2645" t="s">
        <v>394</v>
      </c>
      <c r="C75" s="2654"/>
      <c r="D75" s="2655"/>
      <c r="E75" s="2661"/>
    </row>
    <row r="76" spans="1:5" s="560" customFormat="1" ht="14.25">
      <c r="A76" s="2644" t="s">
        <v>395</v>
      </c>
      <c r="B76" s="2645" t="s">
        <v>396</v>
      </c>
      <c r="C76" s="2641">
        <f>C77+C78+C79+C80</f>
        <v>0</v>
      </c>
      <c r="D76" s="2642">
        <f>D77+D78+D79+D80</f>
        <v>0</v>
      </c>
      <c r="E76" s="2643">
        <f>E77+E78+E79+E80</f>
        <v>0</v>
      </c>
    </row>
    <row r="77" spans="1:5" s="560" customFormat="1" ht="14.25">
      <c r="A77" s="2644" t="s">
        <v>397</v>
      </c>
      <c r="B77" s="2645" t="s">
        <v>398</v>
      </c>
      <c r="C77" s="2654"/>
      <c r="D77" s="2655"/>
      <c r="E77" s="2661"/>
    </row>
    <row r="78" spans="1:5" s="560" customFormat="1" ht="14.25">
      <c r="A78" s="2644" t="s">
        <v>399</v>
      </c>
      <c r="B78" s="2645" t="s">
        <v>400</v>
      </c>
      <c r="C78" s="2654"/>
      <c r="D78" s="2655"/>
      <c r="E78" s="2661"/>
    </row>
    <row r="79" spans="1:5" s="560" customFormat="1" ht="14.25">
      <c r="A79" s="2670" t="s">
        <v>401</v>
      </c>
      <c r="B79" s="2664" t="s">
        <v>402</v>
      </c>
      <c r="C79" s="2665"/>
      <c r="D79" s="2666"/>
      <c r="E79" s="2667"/>
    </row>
    <row r="80" spans="1:5" s="560" customFormat="1" ht="14.25">
      <c r="A80" s="2671" t="s">
        <v>403</v>
      </c>
      <c r="B80" s="603" t="s">
        <v>404</v>
      </c>
      <c r="C80" s="604"/>
      <c r="D80" s="605"/>
      <c r="E80" s="2672"/>
    </row>
    <row r="81" spans="1:5" s="560" customFormat="1" ht="14.25">
      <c r="A81" s="2644" t="s">
        <v>405</v>
      </c>
      <c r="B81" s="2645" t="s">
        <v>406</v>
      </c>
      <c r="C81" s="2654"/>
      <c r="D81" s="2655"/>
      <c r="E81" s="2661"/>
    </row>
    <row r="82" spans="1:5" s="560" customFormat="1" ht="14.25">
      <c r="A82" s="2644" t="s">
        <v>407</v>
      </c>
      <c r="B82" s="2645" t="s">
        <v>769</v>
      </c>
      <c r="C82" s="2654"/>
      <c r="D82" s="2655"/>
      <c r="E82" s="2661"/>
    </row>
    <row r="83" spans="1:5" s="560" customFormat="1" ht="72">
      <c r="A83" s="2658" t="s">
        <v>408</v>
      </c>
      <c r="B83" s="2649" t="s">
        <v>775</v>
      </c>
      <c r="C83" s="2650">
        <f>C84+C85+C86+C88+C87</f>
        <v>0</v>
      </c>
      <c r="D83" s="2651">
        <f>D84+D85+D86+D88+D87</f>
        <v>0</v>
      </c>
      <c r="E83" s="2652">
        <f>E84+E85+E86+E88+E87</f>
        <v>0</v>
      </c>
    </row>
    <row r="84" spans="1:5" s="560" customFormat="1" ht="20.25" customHeight="1">
      <c r="A84" s="2658" t="s">
        <v>384</v>
      </c>
      <c r="B84" s="2640" t="s">
        <v>409</v>
      </c>
      <c r="C84" s="2654"/>
      <c r="D84" s="2655"/>
      <c r="E84" s="2661"/>
    </row>
    <row r="85" spans="1:5" s="560" customFormat="1" ht="14.25">
      <c r="A85" s="2644" t="s">
        <v>410</v>
      </c>
      <c r="B85" s="2645" t="s">
        <v>411</v>
      </c>
      <c r="C85" s="2654"/>
      <c r="D85" s="2655"/>
      <c r="E85" s="2661"/>
    </row>
    <row r="86" spans="1:5" s="560" customFormat="1" ht="14.25">
      <c r="A86" s="2644" t="s">
        <v>1336</v>
      </c>
      <c r="B86" s="2645" t="s">
        <v>412</v>
      </c>
      <c r="C86" s="2654"/>
      <c r="D86" s="2655"/>
      <c r="E86" s="2661"/>
    </row>
    <row r="87" spans="1:5" s="560" customFormat="1" ht="14.25">
      <c r="A87" s="2644" t="s">
        <v>1322</v>
      </c>
      <c r="B87" s="2645" t="s">
        <v>413</v>
      </c>
      <c r="C87" s="2654"/>
      <c r="D87" s="2655"/>
      <c r="E87" s="2661"/>
    </row>
    <row r="88" spans="1:5" s="560" customFormat="1" ht="14.25">
      <c r="A88" s="2644" t="s">
        <v>1323</v>
      </c>
      <c r="B88" s="2645" t="s">
        <v>414</v>
      </c>
      <c r="C88" s="2654"/>
      <c r="D88" s="2655"/>
      <c r="E88" s="2661"/>
    </row>
    <row r="89" spans="1:5" s="560" customFormat="1" ht="72">
      <c r="A89" s="2673" t="s">
        <v>415</v>
      </c>
      <c r="B89" s="2649" t="s">
        <v>782</v>
      </c>
      <c r="C89" s="2650">
        <f>C90+C91+C92+C93+C94</f>
        <v>0</v>
      </c>
      <c r="D89" s="2651">
        <f>D90+D91+D92+D93+D94</f>
        <v>0</v>
      </c>
      <c r="E89" s="2652">
        <f>E90+E91+E92+E93+E94</f>
        <v>0</v>
      </c>
    </row>
    <row r="90" spans="1:5" s="560" customFormat="1" ht="26.25" customHeight="1">
      <c r="A90" s="2673" t="s">
        <v>384</v>
      </c>
      <c r="B90" s="2640" t="s">
        <v>416</v>
      </c>
      <c r="C90" s="2654"/>
      <c r="D90" s="2655"/>
      <c r="E90" s="2661"/>
    </row>
    <row r="91" spans="1:5" s="560" customFormat="1" ht="14.25">
      <c r="A91" s="2644" t="s">
        <v>417</v>
      </c>
      <c r="B91" s="2645" t="s">
        <v>53</v>
      </c>
      <c r="C91" s="2654"/>
      <c r="D91" s="2655"/>
      <c r="E91" s="2661"/>
    </row>
    <row r="92" spans="1:5" s="560" customFormat="1" ht="14.25">
      <c r="A92" s="2644" t="s">
        <v>378</v>
      </c>
      <c r="B92" s="2645" t="s">
        <v>418</v>
      </c>
      <c r="C92" s="2654"/>
      <c r="D92" s="2655"/>
      <c r="E92" s="2661"/>
    </row>
    <row r="93" spans="1:5" s="560" customFormat="1" ht="14.25">
      <c r="A93" s="2644" t="s">
        <v>1322</v>
      </c>
      <c r="B93" s="2645" t="s">
        <v>70</v>
      </c>
      <c r="C93" s="2654"/>
      <c r="D93" s="2655"/>
      <c r="E93" s="2661"/>
    </row>
    <row r="94" spans="1:5" s="560" customFormat="1" ht="14.25">
      <c r="A94" s="2644" t="s">
        <v>1323</v>
      </c>
      <c r="B94" s="2645" t="s">
        <v>419</v>
      </c>
      <c r="C94" s="2654"/>
      <c r="D94" s="2655"/>
      <c r="E94" s="2661"/>
    </row>
    <row r="95" spans="1:5" s="560" customFormat="1" ht="41.25" customHeight="1">
      <c r="A95" s="2644" t="s">
        <v>2178</v>
      </c>
      <c r="B95" s="2659">
        <v>47</v>
      </c>
      <c r="C95" s="2650">
        <f>C96+C97+C98+C99+C100</f>
        <v>0</v>
      </c>
      <c r="D95" s="2651">
        <f>D96+D97+D98+D99+D100</f>
        <v>0</v>
      </c>
      <c r="E95" s="2652">
        <f>E96+E97+E98+E99+E100</f>
        <v>0</v>
      </c>
    </row>
    <row r="96" spans="1:5" s="560" customFormat="1" ht="14.25">
      <c r="A96" s="2644" t="s">
        <v>370</v>
      </c>
      <c r="B96" s="2645" t="s">
        <v>420</v>
      </c>
      <c r="C96" s="2654"/>
      <c r="D96" s="2655"/>
      <c r="E96" s="2661"/>
    </row>
    <row r="97" spans="1:6" ht="14.25">
      <c r="A97" s="2644" t="s">
        <v>1343</v>
      </c>
      <c r="B97" s="2645" t="s">
        <v>421</v>
      </c>
      <c r="C97" s="2654"/>
      <c r="D97" s="2655"/>
      <c r="E97" s="2661"/>
    </row>
    <row r="98" spans="1:6" ht="14.25">
      <c r="A98" s="2644" t="s">
        <v>1345</v>
      </c>
      <c r="B98" s="2645" t="s">
        <v>422</v>
      </c>
      <c r="C98" s="2654"/>
      <c r="D98" s="2655"/>
      <c r="E98" s="2661"/>
    </row>
    <row r="99" spans="1:6" ht="14.25">
      <c r="A99" s="2644" t="s">
        <v>423</v>
      </c>
      <c r="B99" s="2645" t="s">
        <v>424</v>
      </c>
      <c r="C99" s="2654"/>
      <c r="D99" s="2655"/>
      <c r="E99" s="2661"/>
    </row>
    <row r="100" spans="1:6" ht="14.25">
      <c r="A100" s="2674" t="s">
        <v>425</v>
      </c>
      <c r="B100" s="2675" t="s">
        <v>426</v>
      </c>
      <c r="C100" s="2676"/>
      <c r="D100" s="2677"/>
      <c r="E100" s="2678"/>
    </row>
    <row r="101" spans="1:6">
      <c r="A101" s="607"/>
      <c r="B101" s="607"/>
      <c r="C101" s="607"/>
      <c r="D101" s="607"/>
      <c r="E101" s="608"/>
      <c r="F101" s="609"/>
    </row>
    <row r="102" spans="1:6">
      <c r="A102" s="610"/>
      <c r="B102" s="610"/>
      <c r="C102" s="610"/>
      <c r="D102" s="610"/>
      <c r="E102" s="608"/>
      <c r="F102" s="609"/>
    </row>
    <row r="103" spans="1:6">
      <c r="A103" s="1"/>
      <c r="B103" s="1"/>
      <c r="C103" s="1"/>
      <c r="D103" s="1"/>
      <c r="E103" s="1"/>
      <c r="F103" s="48"/>
    </row>
    <row r="104" spans="1:6" ht="15.75">
      <c r="A104" s="91" t="str">
        <f>'ANEXA 1'!B94</f>
        <v>DIRECTOR  GENERAL,</v>
      </c>
      <c r="B104" s="59"/>
      <c r="C104" s="4426" t="str">
        <f>'ANEXA 1'!D94</f>
        <v>DIRECTOR  EXECUTIV  ECONOMIC,</v>
      </c>
      <c r="D104" s="4426"/>
      <c r="E104" s="4426"/>
      <c r="F104" s="48"/>
    </row>
    <row r="105" spans="1:6" ht="15.75">
      <c r="A105" s="611"/>
      <c r="B105" s="612"/>
      <c r="C105" s="611"/>
      <c r="D105" s="1873"/>
      <c r="E105" s="1873"/>
      <c r="F105" s="48"/>
    </row>
    <row r="106" spans="1:6" ht="15.75">
      <c r="A106" s="925" t="str">
        <f>'ANEXA 1'!B96</f>
        <v>EC.ALBU DRINA</v>
      </c>
      <c r="B106" s="613"/>
      <c r="C106" s="4419" t="str">
        <f>'ANEXA 1'!D96</f>
        <v>EC.BIRCU FLORINA</v>
      </c>
      <c r="D106" s="4419"/>
      <c r="E106" s="4419"/>
      <c r="F106" s="48"/>
    </row>
    <row r="107" spans="1:6" ht="16.5" customHeight="1">
      <c r="A107" s="1058">
        <f>'ANEXA 1'!B97</f>
        <v>0</v>
      </c>
      <c r="F107" s="48"/>
    </row>
    <row r="108" spans="1:6" ht="14.25">
      <c r="C108" s="960"/>
      <c r="D108" s="960"/>
      <c r="E108" s="960"/>
    </row>
    <row r="110" spans="1:6" ht="15">
      <c r="A110" s="1632">
        <f>+'ANEXA 1'!B99</f>
        <v>0</v>
      </c>
      <c r="C110" s="4418">
        <f>'ANEXA 1'!D99</f>
        <v>0</v>
      </c>
      <c r="D110" s="4418"/>
      <c r="E110" s="4418"/>
    </row>
    <row r="111" spans="1:6" ht="15">
      <c r="A111" s="1575"/>
    </row>
    <row r="112" spans="1:6" ht="15">
      <c r="A112" s="1575">
        <f>+'ANEXA 1'!B101</f>
        <v>0</v>
      </c>
      <c r="C112" s="4001">
        <f>'ANEXA 1'!D101</f>
        <v>0</v>
      </c>
      <c r="D112" s="4001"/>
      <c r="E112" s="4001"/>
    </row>
    <row r="114" spans="3:5" s="560" customFormat="1">
      <c r="C114" s="1388"/>
      <c r="D114" s="1463"/>
      <c r="E114" s="1463"/>
    </row>
    <row r="115" spans="3:5" s="560" customFormat="1"/>
    <row r="116" spans="3:5" s="560" customFormat="1">
      <c r="C116" s="1054"/>
    </row>
    <row r="117" spans="3:5" s="560" customFormat="1">
      <c r="C117" s="1059"/>
    </row>
  </sheetData>
  <sheetProtection password="CFDD" sheet="1" objects="1" scenarios="1"/>
  <mergeCells count="13">
    <mergeCell ref="C110:E110"/>
    <mergeCell ref="C112:E112"/>
    <mergeCell ref="C106:E106"/>
    <mergeCell ref="A1:C1"/>
    <mergeCell ref="A7:A9"/>
    <mergeCell ref="B7:B9"/>
    <mergeCell ref="C104:E104"/>
    <mergeCell ref="C7:C9"/>
    <mergeCell ref="D7:E7"/>
    <mergeCell ref="D8:D9"/>
    <mergeCell ref="E8:E9"/>
    <mergeCell ref="A4:E4"/>
    <mergeCell ref="A5:E5"/>
  </mergeCells>
  <phoneticPr fontId="0" type="noConversion"/>
  <dataValidations count="1">
    <dataValidation type="whole" allowBlank="1" showErrorMessage="1" sqref="C11:E17 C18:D100 E24:E30 E36 E42:E48 E54 E60 E66 E73 E76 E83 E89 E95">
      <formula1>-9.99999999999999E+28</formula1>
      <formula2>9.99999999999999E+29</formula2>
    </dataValidation>
  </dataValidations>
  <printOptions horizontalCentered="1"/>
  <pageMargins left="3.937007874015748E-2" right="0" top="0.55118110236220474" bottom="0.35433070866141736" header="0.51181102362204722" footer="0.35433070866141736"/>
  <pageSetup paperSize="9" scale="90" firstPageNumber="0" orientation="portrait" r:id="rId1"/>
  <headerFooter alignWithMargins="0">
    <oddFooter>&amp;C&amp;A&amp;RPage &amp;P</oddFooter>
  </headerFooter>
  <rowBreaks count="2" manualBreakCount="2">
    <brk id="41" max="16383" man="1"/>
    <brk id="7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8">
    <tabColor rgb="FFF2DCDB"/>
  </sheetPr>
  <dimension ref="A1:F116"/>
  <sheetViews>
    <sheetView showZeros="0" workbookViewId="0">
      <selection activeCell="D18" sqref="D18"/>
    </sheetView>
  </sheetViews>
  <sheetFormatPr defaultColWidth="9.140625" defaultRowHeight="12.75"/>
  <cols>
    <col min="1" max="1" width="56.85546875" style="313" customWidth="1"/>
    <col min="2" max="2" width="7" style="313" customWidth="1"/>
    <col min="3" max="3" width="14.28515625" style="313" customWidth="1"/>
    <col min="4" max="4" width="14" style="313" customWidth="1"/>
    <col min="5" max="5" width="15" style="313" customWidth="1"/>
    <col min="6" max="6" width="9.140625" style="2083"/>
    <col min="7" max="16384" width="9.140625" style="313"/>
  </cols>
  <sheetData>
    <row r="1" spans="1:6" ht="15.75">
      <c r="A1" s="4019" t="str">
        <f>'ANEXA 1'!A1</f>
        <v>CASA  DE  ASIGURĂRI  DE  SĂNĂTATE MEHEDINTI</v>
      </c>
      <c r="B1" s="4019"/>
      <c r="C1" s="4019"/>
      <c r="D1" s="562"/>
    </row>
    <row r="2" spans="1:6" ht="15">
      <c r="A2" s="563"/>
      <c r="B2" s="563"/>
      <c r="C2" s="1"/>
      <c r="D2" s="564" t="s">
        <v>1303</v>
      </c>
      <c r="E2" s="2084"/>
      <c r="F2" s="566"/>
    </row>
    <row r="3" spans="1:6" ht="15.75">
      <c r="A3" s="567"/>
      <c r="B3" s="563"/>
      <c r="C3" s="563"/>
      <c r="D3" s="1"/>
      <c r="E3" s="165"/>
      <c r="F3" s="566"/>
    </row>
    <row r="4" spans="1:6" ht="18">
      <c r="A4" s="4433" t="s">
        <v>1304</v>
      </c>
      <c r="B4" s="4433"/>
      <c r="C4" s="4433"/>
      <c r="D4" s="4433"/>
      <c r="E4" s="4433"/>
      <c r="F4" s="566"/>
    </row>
    <row r="5" spans="1:6">
      <c r="A5" s="4434" t="str">
        <f>'ANEXA 1'!A12</f>
        <v>la  data  de  30  IUNIE  2023</v>
      </c>
      <c r="B5" s="4434"/>
      <c r="C5" s="4434"/>
      <c r="D5" s="4434"/>
      <c r="E5" s="4434"/>
      <c r="F5" s="566"/>
    </row>
    <row r="6" spans="1:6" ht="13.5" customHeight="1">
      <c r="A6" s="568" t="s">
        <v>427</v>
      </c>
      <c r="B6" s="568"/>
      <c r="E6" s="558" t="s">
        <v>271</v>
      </c>
      <c r="F6" s="566"/>
    </row>
    <row r="7" spans="1:6" ht="15.75" customHeight="1">
      <c r="A7" s="4436" t="s">
        <v>88</v>
      </c>
      <c r="B7" s="4437" t="s">
        <v>180</v>
      </c>
      <c r="C7" s="4438" t="s">
        <v>1115</v>
      </c>
      <c r="D7" s="4439" t="s">
        <v>1306</v>
      </c>
      <c r="E7" s="4439"/>
    </row>
    <row r="8" spans="1:6" ht="12.75" customHeight="1">
      <c r="A8" s="4436"/>
      <c r="B8" s="4437"/>
      <c r="C8" s="4438"/>
      <c r="D8" s="4440" t="s">
        <v>231</v>
      </c>
      <c r="E8" s="4441" t="s">
        <v>1307</v>
      </c>
    </row>
    <row r="9" spans="1:6" ht="54" customHeight="1">
      <c r="A9" s="4436"/>
      <c r="B9" s="4437"/>
      <c r="C9" s="4438"/>
      <c r="D9" s="4440"/>
      <c r="E9" s="4441"/>
    </row>
    <row r="10" spans="1:6">
      <c r="A10" s="569" t="s">
        <v>92</v>
      </c>
      <c r="B10" s="569" t="s">
        <v>93</v>
      </c>
      <c r="C10" s="570" t="s">
        <v>1308</v>
      </c>
      <c r="D10" s="571" t="s">
        <v>98</v>
      </c>
      <c r="E10" s="614" t="s">
        <v>100</v>
      </c>
    </row>
    <row r="11" spans="1:6" ht="30">
      <c r="A11" s="572" t="s">
        <v>1309</v>
      </c>
      <c r="B11" s="573" t="s">
        <v>96</v>
      </c>
      <c r="C11" s="574">
        <f>'ANEXA 30'!C11</f>
        <v>10084237</v>
      </c>
      <c r="D11" s="575">
        <f>'ANEXA 30'!D11</f>
        <v>3102914</v>
      </c>
      <c r="E11" s="576">
        <f>'ANEXA 30'!E11</f>
        <v>3102914</v>
      </c>
    </row>
    <row r="12" spans="1:6" ht="29.25">
      <c r="A12" s="577" t="s">
        <v>1310</v>
      </c>
      <c r="B12" s="578" t="s">
        <v>98</v>
      </c>
      <c r="C12" s="579">
        <f>'ANEXA 30'!C12</f>
        <v>10084237</v>
      </c>
      <c r="D12" s="580">
        <f>'ANEXA 30'!D12</f>
        <v>3102914</v>
      </c>
      <c r="E12" s="581">
        <f>'ANEXA 30'!E12</f>
        <v>3102914</v>
      </c>
    </row>
    <row r="13" spans="1:6" ht="14.25">
      <c r="A13" s="582" t="s">
        <v>1311</v>
      </c>
      <c r="B13" s="583" t="s">
        <v>100</v>
      </c>
      <c r="C13" s="579">
        <f>'ANEXA 30'!C13</f>
        <v>0</v>
      </c>
      <c r="D13" s="580">
        <f>'ANEXA 30'!D13</f>
        <v>0</v>
      </c>
      <c r="E13" s="581">
        <f>'ANEXA 30'!E13</f>
        <v>0</v>
      </c>
    </row>
    <row r="14" spans="1:6" ht="14.25">
      <c r="A14" s="582" t="s">
        <v>1312</v>
      </c>
      <c r="B14" s="583" t="s">
        <v>102</v>
      </c>
      <c r="C14" s="579">
        <f>'ANEXA 30'!C14</f>
        <v>0</v>
      </c>
      <c r="D14" s="580">
        <f>'ANEXA 30'!D14</f>
        <v>0</v>
      </c>
      <c r="E14" s="581">
        <f>'ANEXA 30'!E14</f>
        <v>0</v>
      </c>
    </row>
    <row r="15" spans="1:6" ht="14.25">
      <c r="A15" s="582" t="s">
        <v>1313</v>
      </c>
      <c r="B15" s="583" t="s">
        <v>104</v>
      </c>
      <c r="C15" s="584">
        <f>'ANEXA 30'!C15</f>
        <v>0</v>
      </c>
      <c r="D15" s="585">
        <f>'ANEXA 30'!D15</f>
        <v>0</v>
      </c>
      <c r="E15" s="586">
        <f>'ANEXA 30'!E15</f>
        <v>0</v>
      </c>
    </row>
    <row r="16" spans="1:6" ht="14.25">
      <c r="A16" s="582" t="s">
        <v>1314</v>
      </c>
      <c r="B16" s="583" t="s">
        <v>107</v>
      </c>
      <c r="C16" s="579">
        <f>'ANEXA 30'!C16</f>
        <v>0</v>
      </c>
      <c r="D16" s="580">
        <f>'ANEXA 30'!D16</f>
        <v>0</v>
      </c>
      <c r="E16" s="581">
        <f>'ANEXA 30'!E16</f>
        <v>0</v>
      </c>
    </row>
    <row r="17" spans="1:6" ht="58.5">
      <c r="A17" s="577" t="s">
        <v>1315</v>
      </c>
      <c r="B17" s="587" t="s">
        <v>110</v>
      </c>
      <c r="C17" s="588">
        <f>'ANEXA 30'!C17</f>
        <v>10084237</v>
      </c>
      <c r="D17" s="589">
        <f>'ANEXA 30'!D17</f>
        <v>3102914</v>
      </c>
      <c r="E17" s="590">
        <f>'ANEXA 30'!E17</f>
        <v>3102914</v>
      </c>
    </row>
    <row r="18" spans="1:6" ht="14.25" customHeight="1">
      <c r="A18" s="577" t="s">
        <v>1316</v>
      </c>
      <c r="B18" s="591" t="s">
        <v>1317</v>
      </c>
      <c r="C18" s="579">
        <f>'ANEXA 30'!C18</f>
        <v>10084237</v>
      </c>
      <c r="D18" s="580">
        <f>'ANEXA 30'!D18</f>
        <v>3102914</v>
      </c>
      <c r="E18" s="581">
        <f>'ANEXA 30'!E18</f>
        <v>3102914</v>
      </c>
    </row>
    <row r="19" spans="1:6" ht="14.25">
      <c r="A19" s="582" t="s">
        <v>1318</v>
      </c>
      <c r="B19" s="583" t="s">
        <v>112</v>
      </c>
      <c r="C19" s="579">
        <f>'ANEXA 30'!C19</f>
        <v>0</v>
      </c>
      <c r="D19" s="580">
        <f>'ANEXA 30'!D19</f>
        <v>0</v>
      </c>
      <c r="E19" s="581">
        <f>'ANEXA 30'!E19</f>
        <v>0</v>
      </c>
    </row>
    <row r="20" spans="1:6" ht="14.25">
      <c r="A20" s="582" t="s">
        <v>1319</v>
      </c>
      <c r="B20" s="583" t="s">
        <v>114</v>
      </c>
      <c r="C20" s="579">
        <f>'ANEXA 30'!C20</f>
        <v>0</v>
      </c>
      <c r="D20" s="580">
        <f>'ANEXA 30'!D20</f>
        <v>0</v>
      </c>
      <c r="E20" s="581">
        <f>'ANEXA 30'!E20</f>
        <v>0</v>
      </c>
    </row>
    <row r="21" spans="1:6" ht="14.25">
      <c r="A21" s="582" t="s">
        <v>1320</v>
      </c>
      <c r="B21" s="583" t="s">
        <v>1321</v>
      </c>
      <c r="C21" s="579">
        <f>'ANEXA 30'!C21</f>
        <v>0</v>
      </c>
      <c r="D21" s="580">
        <f>'ANEXA 30'!D21</f>
        <v>0</v>
      </c>
      <c r="E21" s="581">
        <f>'ANEXA 30'!E21</f>
        <v>0</v>
      </c>
    </row>
    <row r="22" spans="1:6" ht="14.25">
      <c r="A22" s="582" t="s">
        <v>1322</v>
      </c>
      <c r="B22" s="583" t="s">
        <v>345</v>
      </c>
      <c r="C22" s="579">
        <f>'ANEXA 30'!C22</f>
        <v>0</v>
      </c>
      <c r="D22" s="580">
        <f>'ANEXA 30'!D22</f>
        <v>0</v>
      </c>
      <c r="E22" s="581">
        <f>'ANEXA 30'!E22</f>
        <v>0</v>
      </c>
    </row>
    <row r="23" spans="1:6" ht="14.25">
      <c r="A23" s="582" t="s">
        <v>1323</v>
      </c>
      <c r="B23" s="583" t="s">
        <v>33</v>
      </c>
      <c r="C23" s="579">
        <f>'ANEXA 30'!C23</f>
        <v>0</v>
      </c>
      <c r="D23" s="580">
        <f>'ANEXA 30'!D23</f>
        <v>0</v>
      </c>
      <c r="E23" s="581">
        <f>'ANEXA 30'!E23</f>
        <v>0</v>
      </c>
    </row>
    <row r="24" spans="1:6" ht="30">
      <c r="A24" s="592" t="s">
        <v>1324</v>
      </c>
      <c r="B24" s="587" t="s">
        <v>434</v>
      </c>
      <c r="C24" s="588">
        <f>'ANEXA 30'!C24</f>
        <v>0</v>
      </c>
      <c r="D24" s="589">
        <f>'ANEXA 30'!D24</f>
        <v>0</v>
      </c>
      <c r="E24" s="590">
        <f>'ANEXA 30'!E24</f>
        <v>0</v>
      </c>
      <c r="F24" s="129" t="str">
        <f>IF(D24&lt;&gt;0,"EROARE"," ")</f>
        <v xml:space="preserve"> </v>
      </c>
    </row>
    <row r="25" spans="1:6" ht="15">
      <c r="A25" s="592" t="s">
        <v>1325</v>
      </c>
      <c r="B25" s="578" t="s">
        <v>1326</v>
      </c>
      <c r="C25" s="579">
        <f>'ANEXA 30'!C25</f>
        <v>0</v>
      </c>
      <c r="D25" s="580">
        <f>'ANEXA 30'!D25</f>
        <v>0</v>
      </c>
      <c r="E25" s="581">
        <f>'ANEXA 30'!E25</f>
        <v>0</v>
      </c>
    </row>
    <row r="26" spans="1:6" ht="14.25">
      <c r="A26" s="582" t="s">
        <v>1327</v>
      </c>
      <c r="B26" s="583" t="s">
        <v>436</v>
      </c>
      <c r="C26" s="579">
        <f>'ANEXA 30'!C26</f>
        <v>0</v>
      </c>
      <c r="D26" s="580">
        <f>'ANEXA 30'!D26</f>
        <v>0</v>
      </c>
      <c r="E26" s="581">
        <f>'ANEXA 30'!E26</f>
        <v>0</v>
      </c>
    </row>
    <row r="27" spans="1:6" ht="14.25">
      <c r="A27" s="582" t="s">
        <v>1328</v>
      </c>
      <c r="B27" s="583" t="s">
        <v>438</v>
      </c>
      <c r="C27" s="579">
        <f>'ANEXA 30'!C27</f>
        <v>0</v>
      </c>
      <c r="D27" s="580">
        <f>'ANEXA 30'!D27</f>
        <v>0</v>
      </c>
      <c r="E27" s="581">
        <f>'ANEXA 30'!E27</f>
        <v>0</v>
      </c>
    </row>
    <row r="28" spans="1:6" ht="14.25">
      <c r="A28" s="582" t="s">
        <v>1329</v>
      </c>
      <c r="B28" s="583" t="s">
        <v>440</v>
      </c>
      <c r="C28" s="579">
        <f>'ANEXA 30'!C28</f>
        <v>0</v>
      </c>
      <c r="D28" s="580">
        <f>'ANEXA 30'!D28</f>
        <v>0</v>
      </c>
      <c r="E28" s="581">
        <f>'ANEXA 30'!E28</f>
        <v>0</v>
      </c>
    </row>
    <row r="29" spans="1:6" ht="14.25">
      <c r="A29" s="582" t="s">
        <v>1330</v>
      </c>
      <c r="B29" s="583" t="s">
        <v>442</v>
      </c>
      <c r="C29" s="579">
        <f>'ANEXA 30'!C29</f>
        <v>0</v>
      </c>
      <c r="D29" s="580">
        <f>'ANEXA 30'!D29</f>
        <v>0</v>
      </c>
      <c r="E29" s="581">
        <f>'ANEXA 30'!E29</f>
        <v>0</v>
      </c>
    </row>
    <row r="30" spans="1:6" ht="58.5">
      <c r="A30" s="577" t="s">
        <v>1331</v>
      </c>
      <c r="B30" s="593" t="s">
        <v>444</v>
      </c>
      <c r="C30" s="588">
        <f>'ANEXA 30'!C30</f>
        <v>0</v>
      </c>
      <c r="D30" s="589">
        <f>'ANEXA 30'!D30</f>
        <v>0</v>
      </c>
      <c r="E30" s="590">
        <f>'ANEXA 30'!E30</f>
        <v>0</v>
      </c>
      <c r="F30" s="129" t="str">
        <f>IF(D30&lt;&gt;0,"EROARE"," ")</f>
        <v xml:space="preserve"> </v>
      </c>
    </row>
    <row r="31" spans="1:6" ht="15" customHeight="1">
      <c r="A31" s="594" t="s">
        <v>1332</v>
      </c>
      <c r="B31" s="583" t="s">
        <v>1333</v>
      </c>
      <c r="C31" s="579">
        <f>'ANEXA 30'!C31</f>
        <v>0</v>
      </c>
      <c r="D31" s="580">
        <f>'ANEXA 30'!D31</f>
        <v>0</v>
      </c>
      <c r="E31" s="581">
        <f>'ANEXA 30'!E31</f>
        <v>0</v>
      </c>
    </row>
    <row r="32" spans="1:6" ht="14.25">
      <c r="A32" s="582" t="s">
        <v>1334</v>
      </c>
      <c r="B32" s="583" t="s">
        <v>1335</v>
      </c>
      <c r="C32" s="579">
        <f>'ANEXA 30'!C32</f>
        <v>0</v>
      </c>
      <c r="D32" s="580">
        <f>'ANEXA 30'!D32</f>
        <v>0</v>
      </c>
      <c r="E32" s="581">
        <f>'ANEXA 30'!E32</f>
        <v>0</v>
      </c>
    </row>
    <row r="33" spans="1:6" ht="14.25">
      <c r="A33" s="582" t="s">
        <v>1336</v>
      </c>
      <c r="B33" s="583" t="s">
        <v>1337</v>
      </c>
      <c r="C33" s="579">
        <f>'ANEXA 30'!C33</f>
        <v>0</v>
      </c>
      <c r="D33" s="580">
        <f>'ANEXA 30'!D33</f>
        <v>0</v>
      </c>
      <c r="E33" s="581">
        <f>'ANEXA 30'!E33</f>
        <v>0</v>
      </c>
    </row>
    <row r="34" spans="1:6" ht="14.25">
      <c r="A34" s="582" t="s">
        <v>1322</v>
      </c>
      <c r="B34" s="583" t="s">
        <v>1338</v>
      </c>
      <c r="C34" s="579">
        <f>'ANEXA 30'!C34</f>
        <v>0</v>
      </c>
      <c r="D34" s="580">
        <f>'ANEXA 30'!D34</f>
        <v>0</v>
      </c>
      <c r="E34" s="581">
        <f>'ANEXA 30'!E34</f>
        <v>0</v>
      </c>
    </row>
    <row r="35" spans="1:6" ht="14.25">
      <c r="A35" s="582" t="s">
        <v>1323</v>
      </c>
      <c r="B35" s="583" t="s">
        <v>1339</v>
      </c>
      <c r="C35" s="579">
        <f>'ANEXA 30'!C35</f>
        <v>0</v>
      </c>
      <c r="D35" s="580">
        <f>'ANEXA 30'!D35</f>
        <v>0</v>
      </c>
      <c r="E35" s="581">
        <f>'ANEXA 30'!E35</f>
        <v>0</v>
      </c>
    </row>
    <row r="36" spans="1:6" ht="58.5">
      <c r="A36" s="592" t="s">
        <v>1340</v>
      </c>
      <c r="B36" s="593" t="s">
        <v>446</v>
      </c>
      <c r="C36" s="588">
        <f>C37+C38+C39+C40+C41</f>
        <v>0</v>
      </c>
      <c r="D36" s="589">
        <f>D37+D38+D39+D40+D41</f>
        <v>0</v>
      </c>
      <c r="E36" s="590">
        <f>E37+E38+E39+E40+E41</f>
        <v>0</v>
      </c>
      <c r="F36" s="129" t="str">
        <f>IF(D36&lt;&gt;0,"EROARE"," ")</f>
        <v xml:space="preserve"> </v>
      </c>
    </row>
    <row r="37" spans="1:6" ht="15">
      <c r="A37" s="592" t="s">
        <v>1341</v>
      </c>
      <c r="B37" s="583" t="s">
        <v>1342</v>
      </c>
      <c r="C37" s="579">
        <f>'ANEXA 30'!C37</f>
        <v>0</v>
      </c>
      <c r="D37" s="580">
        <f>'ANEXA 30'!D37</f>
        <v>0</v>
      </c>
      <c r="E37" s="581">
        <f>'ANEXA 30'!E37</f>
        <v>0</v>
      </c>
    </row>
    <row r="38" spans="1:6" ht="14.25">
      <c r="A38" s="595" t="s">
        <v>1343</v>
      </c>
      <c r="B38" s="583" t="s">
        <v>1344</v>
      </c>
      <c r="C38" s="579">
        <f>'ANEXA 30'!C38</f>
        <v>0</v>
      </c>
      <c r="D38" s="580">
        <f>'ANEXA 30'!D38</f>
        <v>0</v>
      </c>
      <c r="E38" s="581">
        <f>'ANEXA 30'!E38</f>
        <v>0</v>
      </c>
    </row>
    <row r="39" spans="1:6" ht="14.25">
      <c r="A39" s="595" t="s">
        <v>1345</v>
      </c>
      <c r="B39" s="583" t="s">
        <v>1346</v>
      </c>
      <c r="C39" s="579">
        <f>'ANEXA 30'!C39</f>
        <v>0</v>
      </c>
      <c r="D39" s="580">
        <f>'ANEXA 30'!D39</f>
        <v>0</v>
      </c>
      <c r="E39" s="581">
        <f>'ANEXA 30'!E39</f>
        <v>0</v>
      </c>
    </row>
    <row r="40" spans="1:6" ht="14.25">
      <c r="A40" s="595" t="s">
        <v>1347</v>
      </c>
      <c r="B40" s="583" t="s">
        <v>1348</v>
      </c>
      <c r="C40" s="579">
        <f>'ANEXA 30'!C40</f>
        <v>0</v>
      </c>
      <c r="D40" s="580">
        <f>'ANEXA 30'!D40</f>
        <v>0</v>
      </c>
      <c r="E40" s="581">
        <f>'ANEXA 30'!E40</f>
        <v>0</v>
      </c>
    </row>
    <row r="41" spans="1:6" ht="14.25">
      <c r="A41" s="596" t="s">
        <v>1349</v>
      </c>
      <c r="B41" s="597" t="s">
        <v>1350</v>
      </c>
      <c r="C41" s="2085">
        <f>'ANEXA 30'!C41</f>
        <v>0</v>
      </c>
      <c r="D41" s="2086">
        <f>'ANEXA 30'!D41</f>
        <v>0</v>
      </c>
      <c r="E41" s="2087">
        <f>'ANEXA 30'!E41</f>
        <v>0</v>
      </c>
    </row>
    <row r="42" spans="1:6" ht="30">
      <c r="A42" s="598" t="s">
        <v>1351</v>
      </c>
      <c r="B42" s="599" t="s">
        <v>1106</v>
      </c>
      <c r="C42" s="574">
        <f t="shared" ref="C42:C47" si="0">C48+C54</f>
        <v>0</v>
      </c>
      <c r="D42" s="575">
        <f t="shared" ref="D42:D47" si="1">D48+D54</f>
        <v>0</v>
      </c>
      <c r="E42" s="576">
        <f t="shared" ref="E42:E47" si="2">E48+E54</f>
        <v>0</v>
      </c>
      <c r="F42" s="129" t="str">
        <f>IF(D42&lt;&gt;0,"EROARE"," ")</f>
        <v xml:space="preserve"> </v>
      </c>
    </row>
    <row r="43" spans="1:6" ht="15">
      <c r="A43" s="592" t="s">
        <v>1352</v>
      </c>
      <c r="B43" s="583" t="s">
        <v>1353</v>
      </c>
      <c r="C43" s="579">
        <f t="shared" si="0"/>
        <v>0</v>
      </c>
      <c r="D43" s="580">
        <f t="shared" si="1"/>
        <v>0</v>
      </c>
      <c r="E43" s="581">
        <f t="shared" si="2"/>
        <v>0</v>
      </c>
    </row>
    <row r="44" spans="1:6" ht="14.25">
      <c r="A44" s="595" t="s">
        <v>1354</v>
      </c>
      <c r="B44" s="583" t="s">
        <v>1355</v>
      </c>
      <c r="C44" s="579">
        <f t="shared" si="0"/>
        <v>0</v>
      </c>
      <c r="D44" s="580">
        <f t="shared" si="1"/>
        <v>0</v>
      </c>
      <c r="E44" s="581">
        <f t="shared" si="2"/>
        <v>0</v>
      </c>
    </row>
    <row r="45" spans="1:6" ht="14.25">
      <c r="A45" s="595" t="s">
        <v>1356</v>
      </c>
      <c r="B45" s="583" t="s">
        <v>1357</v>
      </c>
      <c r="C45" s="579">
        <f t="shared" si="0"/>
        <v>0</v>
      </c>
      <c r="D45" s="580">
        <f t="shared" si="1"/>
        <v>0</v>
      </c>
      <c r="E45" s="581">
        <f t="shared" si="2"/>
        <v>0</v>
      </c>
    </row>
    <row r="46" spans="1:6" ht="14.25">
      <c r="A46" s="595" t="s">
        <v>1358</v>
      </c>
      <c r="B46" s="583" t="s">
        <v>1359</v>
      </c>
      <c r="C46" s="579">
        <f t="shared" si="0"/>
        <v>0</v>
      </c>
      <c r="D46" s="580">
        <f t="shared" si="1"/>
        <v>0</v>
      </c>
      <c r="E46" s="581">
        <f t="shared" si="2"/>
        <v>0</v>
      </c>
    </row>
    <row r="47" spans="1:6" ht="14.25">
      <c r="A47" s="595" t="s">
        <v>1360</v>
      </c>
      <c r="B47" s="583" t="s">
        <v>1361</v>
      </c>
      <c r="C47" s="579">
        <f t="shared" si="0"/>
        <v>0</v>
      </c>
      <c r="D47" s="580">
        <f t="shared" si="1"/>
        <v>0</v>
      </c>
      <c r="E47" s="581">
        <f t="shared" si="2"/>
        <v>0</v>
      </c>
    </row>
    <row r="48" spans="1:6" ht="43.5">
      <c r="A48" s="582" t="s">
        <v>363</v>
      </c>
      <c r="B48" s="583" t="s">
        <v>713</v>
      </c>
      <c r="C48" s="579">
        <f>C49+C50+C51+C52+C53</f>
        <v>0</v>
      </c>
      <c r="D48" s="580">
        <f>D49+D50+D51+D52+D53</f>
        <v>0</v>
      </c>
      <c r="E48" s="581">
        <f>E49+E50+E51+E52+E53</f>
        <v>0</v>
      </c>
      <c r="F48" s="129" t="str">
        <f>IF(D48&lt;&gt;0,"EROARE"," ")</f>
        <v xml:space="preserve"> </v>
      </c>
    </row>
    <row r="49" spans="1:6" ht="15">
      <c r="A49" s="594" t="s">
        <v>1341</v>
      </c>
      <c r="B49" s="583" t="s">
        <v>364</v>
      </c>
      <c r="C49" s="579">
        <f>'ANEXA 30'!C49</f>
        <v>0</v>
      </c>
      <c r="D49" s="580">
        <f>'ANEXA 30'!D49</f>
        <v>0</v>
      </c>
      <c r="E49" s="581">
        <f>'ANEXA 30'!E49</f>
        <v>0</v>
      </c>
    </row>
    <row r="50" spans="1:6" ht="14.25">
      <c r="A50" s="582" t="s">
        <v>1343</v>
      </c>
      <c r="B50" s="600" t="s">
        <v>365</v>
      </c>
      <c r="C50" s="579">
        <f>'ANEXA 30'!C50</f>
        <v>0</v>
      </c>
      <c r="D50" s="580">
        <f>'ANEXA 30'!D50</f>
        <v>0</v>
      </c>
      <c r="E50" s="581">
        <f>'ANEXA 30'!E50</f>
        <v>0</v>
      </c>
    </row>
    <row r="51" spans="1:6" ht="14.25">
      <c r="A51" s="582" t="s">
        <v>1345</v>
      </c>
      <c r="B51" s="583" t="s">
        <v>366</v>
      </c>
      <c r="C51" s="579">
        <f>'ANEXA 30'!C51</f>
        <v>0</v>
      </c>
      <c r="D51" s="580">
        <f>'ANEXA 30'!D51</f>
        <v>0</v>
      </c>
      <c r="E51" s="581">
        <f>'ANEXA 30'!E51</f>
        <v>0</v>
      </c>
    </row>
    <row r="52" spans="1:6" ht="14.25">
      <c r="A52" s="582" t="s">
        <v>1347</v>
      </c>
      <c r="B52" s="583" t="s">
        <v>367</v>
      </c>
      <c r="C52" s="579">
        <f>'ANEXA 30'!C52</f>
        <v>0</v>
      </c>
      <c r="D52" s="580">
        <f>'ANEXA 30'!D52</f>
        <v>0</v>
      </c>
      <c r="E52" s="581">
        <f>'ANEXA 30'!E52</f>
        <v>0</v>
      </c>
    </row>
    <row r="53" spans="1:6" ht="14.25">
      <c r="A53" s="582" t="s">
        <v>1349</v>
      </c>
      <c r="B53" s="583" t="s">
        <v>368</v>
      </c>
      <c r="C53" s="579">
        <f>'ANEXA 30'!C53</f>
        <v>0</v>
      </c>
      <c r="D53" s="580">
        <f>'ANEXA 30'!D53</f>
        <v>0</v>
      </c>
      <c r="E53" s="581">
        <f>'ANEXA 30'!E53</f>
        <v>0</v>
      </c>
    </row>
    <row r="54" spans="1:6" ht="43.5">
      <c r="A54" s="582" t="s">
        <v>369</v>
      </c>
      <c r="B54" s="583" t="s">
        <v>725</v>
      </c>
      <c r="C54" s="579">
        <f>C55+C56+C57+C58+C59</f>
        <v>0</v>
      </c>
      <c r="D54" s="580">
        <f>D55+D56+D57+D58+D59</f>
        <v>0</v>
      </c>
      <c r="E54" s="581">
        <f>E55+E56+E57+E58+E59</f>
        <v>0</v>
      </c>
      <c r="F54" s="129" t="str">
        <f>IF(D54&lt;&gt;0,"EROARE"," ")</f>
        <v xml:space="preserve"> </v>
      </c>
    </row>
    <row r="55" spans="1:6" ht="14.25">
      <c r="A55" s="582" t="s">
        <v>370</v>
      </c>
      <c r="B55" s="583" t="s">
        <v>120</v>
      </c>
      <c r="C55" s="579">
        <f>'ANEXA 30'!C55</f>
        <v>0</v>
      </c>
      <c r="D55" s="580">
        <f>'ANEXA 30'!D55</f>
        <v>0</v>
      </c>
      <c r="E55" s="581">
        <f>'ANEXA 30'!E55</f>
        <v>0</v>
      </c>
    </row>
    <row r="56" spans="1:6" ht="14.25">
      <c r="A56" s="582" t="s">
        <v>1343</v>
      </c>
      <c r="B56" s="583" t="s">
        <v>371</v>
      </c>
      <c r="C56" s="579">
        <f>'ANEXA 30'!C56</f>
        <v>0</v>
      </c>
      <c r="D56" s="580">
        <f>'ANEXA 30'!D56</f>
        <v>0</v>
      </c>
      <c r="E56" s="581">
        <f>'ANEXA 30'!E56</f>
        <v>0</v>
      </c>
    </row>
    <row r="57" spans="1:6" ht="14.25">
      <c r="A57" s="582" t="s">
        <v>1345</v>
      </c>
      <c r="B57" s="583" t="s">
        <v>372</v>
      </c>
      <c r="C57" s="579">
        <f>'ANEXA 30'!C57</f>
        <v>0</v>
      </c>
      <c r="D57" s="580">
        <f>'ANEXA 30'!D57</f>
        <v>0</v>
      </c>
      <c r="E57" s="581">
        <f>'ANEXA 30'!E57</f>
        <v>0</v>
      </c>
    </row>
    <row r="58" spans="1:6" ht="14.25">
      <c r="A58" s="582" t="s">
        <v>1347</v>
      </c>
      <c r="B58" s="583" t="s">
        <v>373</v>
      </c>
      <c r="C58" s="579">
        <f>'ANEXA 30'!C58</f>
        <v>0</v>
      </c>
      <c r="D58" s="580">
        <f>'ANEXA 30'!D58</f>
        <v>0</v>
      </c>
      <c r="E58" s="581">
        <f>'ANEXA 30'!E58</f>
        <v>0</v>
      </c>
    </row>
    <row r="59" spans="1:6" ht="14.25">
      <c r="A59" s="582" t="s">
        <v>1349</v>
      </c>
      <c r="B59" s="583" t="s">
        <v>374</v>
      </c>
      <c r="C59" s="579">
        <f>'ANEXA 30'!C59</f>
        <v>0</v>
      </c>
      <c r="D59" s="580">
        <f>'ANEXA 30'!D59</f>
        <v>0</v>
      </c>
      <c r="E59" s="581">
        <f>'ANEXA 30'!E59</f>
        <v>0</v>
      </c>
    </row>
    <row r="60" spans="1:6" ht="44.25">
      <c r="A60" s="577" t="s">
        <v>375</v>
      </c>
      <c r="B60" s="587" t="s">
        <v>1191</v>
      </c>
      <c r="C60" s="588">
        <f>C61+C62+C63+C64+C65</f>
        <v>0</v>
      </c>
      <c r="D60" s="589">
        <f>D61+D62+D63+D64+D65</f>
        <v>0</v>
      </c>
      <c r="E60" s="590">
        <f>E61+E62+E63+E64+E65</f>
        <v>0</v>
      </c>
      <c r="F60" s="129" t="str">
        <f>IF(D60&lt;&gt;0,"EROARE"," ")</f>
        <v xml:space="preserve"> </v>
      </c>
    </row>
    <row r="61" spans="1:6" ht="15">
      <c r="A61" s="577" t="s">
        <v>376</v>
      </c>
      <c r="B61" s="578" t="s">
        <v>122</v>
      </c>
      <c r="C61" s="579">
        <f>'ANEXA 30'!C61</f>
        <v>0</v>
      </c>
      <c r="D61" s="580">
        <f>'ANEXA 30'!D61</f>
        <v>0</v>
      </c>
      <c r="E61" s="581">
        <f>'ANEXA 30'!E61</f>
        <v>0</v>
      </c>
    </row>
    <row r="62" spans="1:6" ht="14.25">
      <c r="A62" s="582" t="s">
        <v>1318</v>
      </c>
      <c r="B62" s="583" t="s">
        <v>377</v>
      </c>
      <c r="C62" s="579">
        <f>'ANEXA 30'!C62</f>
        <v>0</v>
      </c>
      <c r="D62" s="580">
        <f>'ANEXA 30'!D62</f>
        <v>0</v>
      </c>
      <c r="E62" s="581">
        <f>'ANEXA 30'!E62</f>
        <v>0</v>
      </c>
    </row>
    <row r="63" spans="1:6" ht="14.25">
      <c r="A63" s="582" t="s">
        <v>378</v>
      </c>
      <c r="B63" s="583" t="s">
        <v>379</v>
      </c>
      <c r="C63" s="579">
        <f>'ANEXA 30'!C63</f>
        <v>0</v>
      </c>
      <c r="D63" s="580">
        <f>'ANEXA 30'!D63</f>
        <v>0</v>
      </c>
      <c r="E63" s="581">
        <f>'ANEXA 30'!E63</f>
        <v>0</v>
      </c>
    </row>
    <row r="64" spans="1:6" ht="14.25">
      <c r="A64" s="582" t="s">
        <v>1322</v>
      </c>
      <c r="B64" s="583" t="s">
        <v>380</v>
      </c>
      <c r="C64" s="579">
        <f>'ANEXA 30'!C64</f>
        <v>0</v>
      </c>
      <c r="D64" s="580">
        <f>'ANEXA 30'!D64</f>
        <v>0</v>
      </c>
      <c r="E64" s="581">
        <f>'ANEXA 30'!E64</f>
        <v>0</v>
      </c>
    </row>
    <row r="65" spans="1:5" ht="14.25">
      <c r="A65" s="582" t="s">
        <v>1323</v>
      </c>
      <c r="B65" s="583" t="s">
        <v>381</v>
      </c>
      <c r="C65" s="579">
        <f>'ANEXA 30'!C65</f>
        <v>0</v>
      </c>
      <c r="D65" s="580">
        <f>'ANEXA 30'!D65</f>
        <v>0</v>
      </c>
      <c r="E65" s="581">
        <f>'ANEXA 30'!E65</f>
        <v>0</v>
      </c>
    </row>
    <row r="66" spans="1:5" ht="57.75">
      <c r="A66" s="592" t="s">
        <v>382</v>
      </c>
      <c r="B66" s="587" t="s">
        <v>383</v>
      </c>
      <c r="C66" s="588">
        <f>C67+C68+C69+C71+C72</f>
        <v>0</v>
      </c>
      <c r="D66" s="589">
        <f>D67+D68+D69+D71+D72</f>
        <v>0</v>
      </c>
      <c r="E66" s="590">
        <f>E67+E68+E69+E71+E72</f>
        <v>0</v>
      </c>
    </row>
    <row r="67" spans="1:5" ht="15">
      <c r="A67" s="592" t="s">
        <v>384</v>
      </c>
      <c r="B67" s="578" t="s">
        <v>385</v>
      </c>
      <c r="C67" s="579">
        <f>'ANEXA 30'!C67</f>
        <v>0</v>
      </c>
      <c r="D67" s="580">
        <f>'ANEXA 30'!D67</f>
        <v>0</v>
      </c>
      <c r="E67" s="581">
        <f>'ANEXA 30'!E67</f>
        <v>0</v>
      </c>
    </row>
    <row r="68" spans="1:5" ht="14.25">
      <c r="A68" s="582" t="s">
        <v>1318</v>
      </c>
      <c r="B68" s="583" t="s">
        <v>386</v>
      </c>
      <c r="C68" s="579">
        <f>'ANEXA 30'!C68</f>
        <v>0</v>
      </c>
      <c r="D68" s="580">
        <f>'ANEXA 30'!D68</f>
        <v>0</v>
      </c>
      <c r="E68" s="581">
        <f>'ANEXA 30'!E68</f>
        <v>0</v>
      </c>
    </row>
    <row r="69" spans="1:5" ht="14.25">
      <c r="A69" s="582" t="s">
        <v>378</v>
      </c>
      <c r="B69" s="583" t="s">
        <v>387</v>
      </c>
      <c r="C69" s="579">
        <f>'ANEXA 30'!C69</f>
        <v>0</v>
      </c>
      <c r="D69" s="580">
        <f>'ANEXA 30'!D69</f>
        <v>0</v>
      </c>
      <c r="E69" s="581">
        <f>'ANEXA 30'!E69</f>
        <v>0</v>
      </c>
    </row>
    <row r="70" spans="1:5" ht="14.25">
      <c r="A70" s="582" t="s">
        <v>388</v>
      </c>
      <c r="B70" s="583" t="s">
        <v>218</v>
      </c>
      <c r="C70" s="579">
        <f>'ANEXA 30'!C70</f>
        <v>0</v>
      </c>
      <c r="D70" s="580">
        <f>'ANEXA 30'!D70</f>
        <v>0</v>
      </c>
      <c r="E70" s="581">
        <f>'ANEXA 30'!E70</f>
        <v>0</v>
      </c>
    </row>
    <row r="71" spans="1:5" ht="21" customHeight="1">
      <c r="A71" s="582" t="s">
        <v>1322</v>
      </c>
      <c r="B71" s="583" t="s">
        <v>759</v>
      </c>
      <c r="C71" s="579">
        <f>'ANEXA 30'!C71</f>
        <v>0</v>
      </c>
      <c r="D71" s="580">
        <f>'ANEXA 30'!D71</f>
        <v>0</v>
      </c>
      <c r="E71" s="581">
        <f>'ANEXA 30'!E71</f>
        <v>0</v>
      </c>
    </row>
    <row r="72" spans="1:5" ht="29.25" customHeight="1">
      <c r="A72" s="582" t="s">
        <v>1323</v>
      </c>
      <c r="B72" s="583" t="s">
        <v>763</v>
      </c>
      <c r="C72" s="579">
        <f>'ANEXA 30'!C72</f>
        <v>0</v>
      </c>
      <c r="D72" s="580">
        <f>'ANEXA 30'!D72</f>
        <v>0</v>
      </c>
      <c r="E72" s="581">
        <f>'ANEXA 30'!E72</f>
        <v>0</v>
      </c>
    </row>
    <row r="73" spans="1:5" ht="57.75">
      <c r="A73" s="577" t="s">
        <v>389</v>
      </c>
      <c r="B73" s="587" t="s">
        <v>390</v>
      </c>
      <c r="C73" s="588">
        <f>C74+C75+C76+C81+C82</f>
        <v>0</v>
      </c>
      <c r="D73" s="589">
        <f>D74+D75+D76+D81+D82</f>
        <v>0</v>
      </c>
      <c r="E73" s="590">
        <f>E74+E75+E76+E81+E82</f>
        <v>0</v>
      </c>
    </row>
    <row r="74" spans="1:5" ht="19.5" customHeight="1">
      <c r="A74" s="577" t="s">
        <v>391</v>
      </c>
      <c r="B74" s="578" t="s">
        <v>392</v>
      </c>
      <c r="C74" s="579">
        <f>'ANEXA 30'!C74</f>
        <v>0</v>
      </c>
      <c r="D74" s="580">
        <f>'ANEXA 30'!D74</f>
        <v>0</v>
      </c>
      <c r="E74" s="581">
        <f>'ANEXA 30'!E74</f>
        <v>0</v>
      </c>
    </row>
    <row r="75" spans="1:5" ht="14.25">
      <c r="A75" s="582" t="s">
        <v>393</v>
      </c>
      <c r="B75" s="583" t="s">
        <v>394</v>
      </c>
      <c r="C75" s="579">
        <f>'ANEXA 30'!C75</f>
        <v>0</v>
      </c>
      <c r="D75" s="580">
        <f>'ANEXA 30'!D75</f>
        <v>0</v>
      </c>
      <c r="E75" s="581">
        <f>'ANEXA 30'!E75</f>
        <v>0</v>
      </c>
    </row>
    <row r="76" spans="1:5" ht="14.25">
      <c r="A76" s="582" t="s">
        <v>395</v>
      </c>
      <c r="B76" s="583" t="s">
        <v>396</v>
      </c>
      <c r="C76" s="579">
        <f>C77+C78+C79+C80</f>
        <v>0</v>
      </c>
      <c r="D76" s="580">
        <f>D77+D78+D79+D80</f>
        <v>0</v>
      </c>
      <c r="E76" s="581">
        <f>E77+E78+E79+E80</f>
        <v>0</v>
      </c>
    </row>
    <row r="77" spans="1:5" ht="14.25">
      <c r="A77" s="582" t="s">
        <v>397</v>
      </c>
      <c r="B77" s="583" t="s">
        <v>398</v>
      </c>
      <c r="C77" s="579">
        <f>'ANEXA 30'!C77</f>
        <v>0</v>
      </c>
      <c r="D77" s="580">
        <f>'ANEXA 30'!D77</f>
        <v>0</v>
      </c>
      <c r="E77" s="581">
        <f>'ANEXA 30'!E77</f>
        <v>0</v>
      </c>
    </row>
    <row r="78" spans="1:5" ht="14.25">
      <c r="A78" s="582" t="s">
        <v>399</v>
      </c>
      <c r="B78" s="583" t="s">
        <v>400</v>
      </c>
      <c r="C78" s="579">
        <f>'ANEXA 30'!C78</f>
        <v>0</v>
      </c>
      <c r="D78" s="580">
        <f>'ANEXA 30'!D78</f>
        <v>0</v>
      </c>
      <c r="E78" s="581">
        <f>'ANEXA 30'!E78</f>
        <v>0</v>
      </c>
    </row>
    <row r="79" spans="1:5" ht="14.25">
      <c r="A79" s="582" t="s">
        <v>401</v>
      </c>
      <c r="B79" s="583" t="s">
        <v>402</v>
      </c>
      <c r="C79" s="579">
        <f>'ANEXA 30'!C79</f>
        <v>0</v>
      </c>
      <c r="D79" s="580">
        <f>'ANEXA 30'!D79</f>
        <v>0</v>
      </c>
      <c r="E79" s="581">
        <f>'ANEXA 30'!E79</f>
        <v>0</v>
      </c>
    </row>
    <row r="80" spans="1:5" ht="14.25">
      <c r="A80" s="582" t="s">
        <v>403</v>
      </c>
      <c r="B80" s="583" t="s">
        <v>404</v>
      </c>
      <c r="C80" s="579">
        <f>'ANEXA 30'!C80</f>
        <v>0</v>
      </c>
      <c r="D80" s="580">
        <f>'ANEXA 30'!D80</f>
        <v>0</v>
      </c>
      <c r="E80" s="581">
        <f>'ANEXA 30'!E80</f>
        <v>0</v>
      </c>
    </row>
    <row r="81" spans="1:5" ht="14.25">
      <c r="A81" s="601" t="s">
        <v>405</v>
      </c>
      <c r="B81" s="597" t="s">
        <v>406</v>
      </c>
      <c r="C81" s="2085">
        <f>'ANEXA 30'!C81</f>
        <v>0</v>
      </c>
      <c r="D81" s="2086">
        <f>'ANEXA 30'!D81</f>
        <v>0</v>
      </c>
      <c r="E81" s="2087">
        <f>'ANEXA 30'!E81</f>
        <v>0</v>
      </c>
    </row>
    <row r="82" spans="1:5" ht="14.25">
      <c r="A82" s="602" t="s">
        <v>407</v>
      </c>
      <c r="B82" s="603" t="s">
        <v>769</v>
      </c>
      <c r="C82" s="2088">
        <f>'ANEXA 30'!C82</f>
        <v>0</v>
      </c>
      <c r="D82" s="2089">
        <f>'ANEXA 30'!D82</f>
        <v>0</v>
      </c>
      <c r="E82" s="2090">
        <f>'ANEXA 30'!E82</f>
        <v>0</v>
      </c>
    </row>
    <row r="83" spans="1:5" ht="86.25">
      <c r="A83" s="592" t="s">
        <v>408</v>
      </c>
      <c r="B83" s="587" t="s">
        <v>775</v>
      </c>
      <c r="C83" s="588">
        <f>C84+C85+C86+C88+C87</f>
        <v>0</v>
      </c>
      <c r="D83" s="589">
        <f>D84+D85+D86+D88+D87</f>
        <v>0</v>
      </c>
      <c r="E83" s="590">
        <f>E84+E85+E86+E88+E87</f>
        <v>0</v>
      </c>
    </row>
    <row r="84" spans="1:5" ht="20.25" customHeight="1">
      <c r="A84" s="592" t="s">
        <v>384</v>
      </c>
      <c r="B84" s="578" t="s">
        <v>409</v>
      </c>
      <c r="C84" s="579">
        <f>'ANEXA 30'!C84</f>
        <v>0</v>
      </c>
      <c r="D84" s="580">
        <f>'ANEXA 30'!D84</f>
        <v>0</v>
      </c>
      <c r="E84" s="581">
        <f>'ANEXA 30'!E84</f>
        <v>0</v>
      </c>
    </row>
    <row r="85" spans="1:5" ht="14.25">
      <c r="A85" s="582" t="s">
        <v>410</v>
      </c>
      <c r="B85" s="583" t="s">
        <v>411</v>
      </c>
      <c r="C85" s="579">
        <f>'ANEXA 30'!C85</f>
        <v>0</v>
      </c>
      <c r="D85" s="580">
        <f>'ANEXA 30'!D85</f>
        <v>0</v>
      </c>
      <c r="E85" s="581">
        <f>'ANEXA 30'!E85</f>
        <v>0</v>
      </c>
    </row>
    <row r="86" spans="1:5" ht="14.25">
      <c r="A86" s="582" t="s">
        <v>1336</v>
      </c>
      <c r="B86" s="583" t="s">
        <v>412</v>
      </c>
      <c r="C86" s="579">
        <f>'ANEXA 30'!C86</f>
        <v>0</v>
      </c>
      <c r="D86" s="580">
        <f>'ANEXA 30'!D86</f>
        <v>0</v>
      </c>
      <c r="E86" s="581">
        <f>'ANEXA 30'!E86</f>
        <v>0</v>
      </c>
    </row>
    <row r="87" spans="1:5" ht="14.25">
      <c r="A87" s="582" t="s">
        <v>1322</v>
      </c>
      <c r="B87" s="583" t="s">
        <v>413</v>
      </c>
      <c r="C87" s="579">
        <f>'ANEXA 30'!C87</f>
        <v>0</v>
      </c>
      <c r="D87" s="580">
        <f>'ANEXA 30'!D87</f>
        <v>0</v>
      </c>
      <c r="E87" s="581">
        <f>'ANEXA 30'!E87</f>
        <v>0</v>
      </c>
    </row>
    <row r="88" spans="1:5" ht="14.25">
      <c r="A88" s="582" t="s">
        <v>1323</v>
      </c>
      <c r="B88" s="583" t="s">
        <v>414</v>
      </c>
      <c r="C88" s="579">
        <f>'ANEXA 30'!C88</f>
        <v>0</v>
      </c>
      <c r="D88" s="580">
        <f>'ANEXA 30'!D88</f>
        <v>0</v>
      </c>
      <c r="E88" s="581">
        <f>'ANEXA 30'!E88</f>
        <v>0</v>
      </c>
    </row>
    <row r="89" spans="1:5" ht="72.75">
      <c r="A89" s="606" t="s">
        <v>415</v>
      </c>
      <c r="B89" s="587" t="s">
        <v>782</v>
      </c>
      <c r="C89" s="588">
        <f>C90+C91+C92+C93+C94</f>
        <v>0</v>
      </c>
      <c r="D89" s="589">
        <f>D90+D91+D92+D93+D94</f>
        <v>0</v>
      </c>
      <c r="E89" s="590">
        <f>E90+E91+E92+E93+E94</f>
        <v>0</v>
      </c>
    </row>
    <row r="90" spans="1:5" ht="26.25" customHeight="1">
      <c r="A90" s="606" t="s">
        <v>384</v>
      </c>
      <c r="B90" s="578" t="s">
        <v>416</v>
      </c>
      <c r="C90" s="579">
        <f>'ANEXA 30'!C90</f>
        <v>0</v>
      </c>
      <c r="D90" s="580">
        <f>'ANEXA 30'!D90</f>
        <v>0</v>
      </c>
      <c r="E90" s="581">
        <f>'ANEXA 30'!E90</f>
        <v>0</v>
      </c>
    </row>
    <row r="91" spans="1:5" ht="14.25">
      <c r="A91" s="582" t="s">
        <v>417</v>
      </c>
      <c r="B91" s="583" t="s">
        <v>53</v>
      </c>
      <c r="C91" s="579">
        <f>'ANEXA 30'!C91</f>
        <v>0</v>
      </c>
      <c r="D91" s="580">
        <f>'ANEXA 30'!D91</f>
        <v>0</v>
      </c>
      <c r="E91" s="581">
        <f>'ANEXA 30'!E91</f>
        <v>0</v>
      </c>
    </row>
    <row r="92" spans="1:5" ht="14.25">
      <c r="A92" s="582" t="s">
        <v>378</v>
      </c>
      <c r="B92" s="583" t="s">
        <v>418</v>
      </c>
      <c r="C92" s="579">
        <f>'ANEXA 30'!C92</f>
        <v>0</v>
      </c>
      <c r="D92" s="580">
        <f>'ANEXA 30'!D92</f>
        <v>0</v>
      </c>
      <c r="E92" s="581">
        <f>'ANEXA 30'!E92</f>
        <v>0</v>
      </c>
    </row>
    <row r="93" spans="1:5" ht="14.25">
      <c r="A93" s="582" t="s">
        <v>1322</v>
      </c>
      <c r="B93" s="583" t="s">
        <v>70</v>
      </c>
      <c r="C93" s="579">
        <f>'ANEXA 30'!C93</f>
        <v>0</v>
      </c>
      <c r="D93" s="580">
        <f>'ANEXA 30'!D93</f>
        <v>0</v>
      </c>
      <c r="E93" s="581">
        <f>'ANEXA 30'!E93</f>
        <v>0</v>
      </c>
    </row>
    <row r="94" spans="1:5" ht="14.25">
      <c r="A94" s="582" t="s">
        <v>1323</v>
      </c>
      <c r="B94" s="583" t="s">
        <v>419</v>
      </c>
      <c r="C94" s="579">
        <f>'ANEXA 30'!C94</f>
        <v>0</v>
      </c>
      <c r="D94" s="580">
        <f>'ANEXA 30'!D94</f>
        <v>0</v>
      </c>
      <c r="E94" s="581">
        <f>'ANEXA 30'!E94</f>
        <v>0</v>
      </c>
    </row>
    <row r="95" spans="1:5" ht="43.5">
      <c r="A95" s="582" t="s">
        <v>2178</v>
      </c>
      <c r="B95" s="593">
        <v>47</v>
      </c>
      <c r="C95" s="588">
        <f>C96+C97+C98+C99+C100</f>
        <v>0</v>
      </c>
      <c r="D95" s="589">
        <f>D96+D97+D98+D99+D100</f>
        <v>0</v>
      </c>
      <c r="E95" s="590">
        <f>E96+E97+E98+E99+E100</f>
        <v>0</v>
      </c>
    </row>
    <row r="96" spans="1:5" ht="14.25">
      <c r="A96" s="582" t="s">
        <v>370</v>
      </c>
      <c r="B96" s="583" t="s">
        <v>420</v>
      </c>
      <c r="C96" s="579">
        <f>'ANEXA 30'!C96</f>
        <v>0</v>
      </c>
      <c r="D96" s="580">
        <f>'ANEXA 30'!D96</f>
        <v>0</v>
      </c>
      <c r="E96" s="581">
        <f>'ANEXA 30'!E96</f>
        <v>0</v>
      </c>
    </row>
    <row r="97" spans="1:6" ht="14.25">
      <c r="A97" s="582" t="s">
        <v>1343</v>
      </c>
      <c r="B97" s="583" t="s">
        <v>421</v>
      </c>
      <c r="C97" s="579">
        <f>'ANEXA 30'!C97</f>
        <v>0</v>
      </c>
      <c r="D97" s="580">
        <f>'ANEXA 30'!D97</f>
        <v>0</v>
      </c>
      <c r="E97" s="581">
        <f>'ANEXA 30'!E97</f>
        <v>0</v>
      </c>
    </row>
    <row r="98" spans="1:6" ht="14.25">
      <c r="A98" s="582" t="s">
        <v>1345</v>
      </c>
      <c r="B98" s="583" t="s">
        <v>422</v>
      </c>
      <c r="C98" s="579">
        <f>'ANEXA 30'!C98</f>
        <v>0</v>
      </c>
      <c r="D98" s="580">
        <f>'ANEXA 30'!D98</f>
        <v>0</v>
      </c>
      <c r="E98" s="581">
        <f>'ANEXA 30'!E98</f>
        <v>0</v>
      </c>
    </row>
    <row r="99" spans="1:6" ht="14.25">
      <c r="A99" s="582" t="s">
        <v>423</v>
      </c>
      <c r="B99" s="583" t="s">
        <v>424</v>
      </c>
      <c r="C99" s="579">
        <f>'ANEXA 30'!C99</f>
        <v>0</v>
      </c>
      <c r="D99" s="580">
        <f>'ANEXA 30'!D99</f>
        <v>0</v>
      </c>
      <c r="E99" s="581">
        <f>'ANEXA 30'!E99</f>
        <v>0</v>
      </c>
    </row>
    <row r="100" spans="1:6" ht="14.25">
      <c r="A100" s="601" t="s">
        <v>425</v>
      </c>
      <c r="B100" s="597" t="s">
        <v>426</v>
      </c>
      <c r="C100" s="2085">
        <f>'ANEXA 30'!C100</f>
        <v>0</v>
      </c>
      <c r="D100" s="2086">
        <f>'ANEXA 30'!D100</f>
        <v>0</v>
      </c>
      <c r="E100" s="2087">
        <f>'ANEXA 30'!E100</f>
        <v>0</v>
      </c>
    </row>
    <row r="101" spans="1:6">
      <c r="A101" s="607"/>
      <c r="B101" s="607"/>
      <c r="C101" s="607"/>
      <c r="D101" s="607"/>
      <c r="E101" s="610"/>
      <c r="F101" s="2091"/>
    </row>
    <row r="102" spans="1:6">
      <c r="A102" s="610"/>
      <c r="B102" s="610"/>
      <c r="C102" s="610"/>
      <c r="D102" s="610"/>
      <c r="E102" s="610"/>
      <c r="F102" s="2091"/>
    </row>
    <row r="103" spans="1:6">
      <c r="A103" s="1"/>
      <c r="B103" s="1"/>
      <c r="C103" s="1"/>
      <c r="D103" s="1"/>
      <c r="E103" s="1"/>
      <c r="F103" s="48"/>
    </row>
    <row r="104" spans="1:6" ht="15.75">
      <c r="A104" s="2333" t="str">
        <f>'ANEXA 1'!B94</f>
        <v>DIRECTOR  GENERAL,</v>
      </c>
      <c r="B104" s="4426" t="str">
        <f>'ANEXA 1'!D94</f>
        <v>DIRECTOR  EXECUTIV  ECONOMIC,</v>
      </c>
      <c r="C104" s="4426"/>
      <c r="D104" s="4426"/>
      <c r="E104" s="4426"/>
      <c r="F104" s="48"/>
    </row>
    <row r="105" spans="1:6" ht="15.75">
      <c r="A105" s="65"/>
      <c r="B105" s="617"/>
      <c r="C105" s="65"/>
      <c r="D105" s="17"/>
      <c r="E105" s="17"/>
      <c r="F105" s="48"/>
    </row>
    <row r="106" spans="1:6" ht="15.75">
      <c r="A106" s="2333" t="str">
        <f>'ANEXA 1'!B96</f>
        <v>EC.ALBU DRINA</v>
      </c>
      <c r="B106" s="4311" t="str">
        <f>'ANEXA 1'!D96</f>
        <v>EC.BIRCU FLORINA</v>
      </c>
      <c r="C106" s="4311"/>
      <c r="D106" s="4311"/>
      <c r="E106" s="4311"/>
      <c r="F106" s="48"/>
    </row>
    <row r="107" spans="1:6" ht="16.5" customHeight="1">
      <c r="A107" s="2329">
        <f>'ANEXA 1'!B97</f>
        <v>0</v>
      </c>
      <c r="F107" s="48"/>
    </row>
    <row r="108" spans="1:6" ht="14.25">
      <c r="B108" s="2092"/>
      <c r="C108" s="2092"/>
      <c r="D108" s="2092"/>
      <c r="E108" s="2092"/>
    </row>
    <row r="110" spans="1:6" ht="15">
      <c r="A110" s="2331">
        <f>+'ANEXA 1'!B99</f>
        <v>0</v>
      </c>
      <c r="B110" s="4435">
        <f>'ANEXA 1'!D99</f>
        <v>0</v>
      </c>
      <c r="C110" s="4435"/>
      <c r="D110" s="4435"/>
      <c r="E110" s="4435"/>
    </row>
    <row r="111" spans="1:6" ht="15">
      <c r="A111" s="2332"/>
    </row>
    <row r="112" spans="1:6" ht="15">
      <c r="A112" s="2332">
        <f>+'ANEXA 1'!B101</f>
        <v>0</v>
      </c>
      <c r="B112" s="4435">
        <f>'ANEXA 1'!D101</f>
        <v>0</v>
      </c>
      <c r="C112" s="4435"/>
      <c r="D112" s="4435"/>
      <c r="E112" s="4435"/>
    </row>
    <row r="113" spans="3:5">
      <c r="C113" s="1470"/>
      <c r="D113" s="2330"/>
      <c r="E113" s="1470"/>
    </row>
    <row r="115" spans="3:5">
      <c r="D115" s="2334"/>
    </row>
    <row r="116" spans="3:5">
      <c r="D116" s="2025"/>
    </row>
  </sheetData>
  <sheetProtection password="CFDD" sheet="1" objects="1" scenarios="1"/>
  <mergeCells count="13">
    <mergeCell ref="B112:E112"/>
    <mergeCell ref="B110:E110"/>
    <mergeCell ref="B106:E106"/>
    <mergeCell ref="B104:E104"/>
    <mergeCell ref="A1:C1"/>
    <mergeCell ref="A7:A9"/>
    <mergeCell ref="B7:B9"/>
    <mergeCell ref="C7:C9"/>
    <mergeCell ref="D7:E7"/>
    <mergeCell ref="D8:D9"/>
    <mergeCell ref="E8:E9"/>
    <mergeCell ref="A4:E4"/>
    <mergeCell ref="A5:E5"/>
  </mergeCells>
  <phoneticPr fontId="0" type="noConversion"/>
  <dataValidations count="1">
    <dataValidation type="whole" allowBlank="1" showErrorMessage="1" sqref="C11:E100">
      <formula1>-9.99999999999999E+28</formula1>
      <formula2>9.99999999999999E+29</formula2>
    </dataValidation>
  </dataValidations>
  <pageMargins left="0.55138888888888893" right="0.2361111111111111" top="0.55138888888888893" bottom="0.35416666666666669" header="0.51180555555555551" footer="0.35416666666666669"/>
  <pageSetup paperSize="9" scale="90" firstPageNumber="0" orientation="portrait" horizontalDpi="300" verticalDpi="300" r:id="rId1"/>
  <headerFooter alignWithMargins="0">
    <oddFooter>&amp;C&amp;A&amp;RPage &amp;P</oddFooter>
  </headerFooter>
  <rowBreaks count="2" manualBreakCount="2">
    <brk id="41" max="16383" man="1"/>
    <brk id="76" max="4" man="1"/>
  </rowBreak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0">
    <tabColor theme="3" tint="0.39997558519241921"/>
  </sheetPr>
  <dimension ref="A1:K43"/>
  <sheetViews>
    <sheetView showZeros="0" workbookViewId="0">
      <selection activeCell="J9" sqref="J9"/>
    </sheetView>
  </sheetViews>
  <sheetFormatPr defaultColWidth="9.140625" defaultRowHeight="12.75"/>
  <cols>
    <col min="1" max="1" width="35.42578125" style="48" customWidth="1"/>
    <col min="2" max="2" width="17" style="48" customWidth="1"/>
    <col min="3" max="4" width="14.140625" style="48" customWidth="1"/>
    <col min="5" max="5" width="15.140625" style="48" customWidth="1"/>
    <col min="6" max="6" width="15.5703125" style="48" customWidth="1"/>
    <col min="7" max="8" width="14.140625" style="48" customWidth="1"/>
    <col min="9" max="9" width="16.140625" style="48" customWidth="1"/>
    <col min="10" max="10" width="14.7109375" style="48" customWidth="1"/>
    <col min="11" max="11" width="11" style="75" customWidth="1"/>
    <col min="12" max="16384" width="9.140625" style="48"/>
  </cols>
  <sheetData>
    <row r="1" spans="1:11" ht="15">
      <c r="A1" s="3989" t="str">
        <f>'ANEXA 1'!A1</f>
        <v>CASA  DE  ASIGURĂRI  DE  SĂNĂTATE MEHEDINTI</v>
      </c>
      <c r="B1" s="3989"/>
      <c r="C1" s="3989"/>
      <c r="D1" s="3989"/>
      <c r="E1" s="3989"/>
    </row>
    <row r="2" spans="1:11" ht="15">
      <c r="A2" s="35"/>
      <c r="B2" s="35"/>
      <c r="C2" s="35"/>
      <c r="D2" s="35"/>
      <c r="E2" s="35"/>
    </row>
    <row r="3" spans="1:11" ht="15">
      <c r="A3" s="35"/>
      <c r="B3" s="35"/>
      <c r="C3" s="35"/>
      <c r="D3" s="35"/>
      <c r="E3" s="35"/>
    </row>
    <row r="4" spans="1:11" ht="16.5" customHeight="1">
      <c r="A4" s="4451" t="s">
        <v>2179</v>
      </c>
      <c r="B4" s="4451"/>
      <c r="C4" s="4451"/>
      <c r="D4" s="4451"/>
      <c r="E4" s="4451"/>
      <c r="F4" s="4451"/>
      <c r="G4" s="4451"/>
      <c r="H4" s="4451"/>
      <c r="I4" s="4451"/>
    </row>
    <row r="5" spans="1:11" ht="15">
      <c r="A5" s="4451" t="str">
        <f>'ANEXA 1'!A12</f>
        <v>la  data  de  30  IUNIE  2023</v>
      </c>
      <c r="B5" s="4451"/>
      <c r="C5" s="4451"/>
      <c r="D5" s="4451"/>
      <c r="E5" s="4451"/>
      <c r="F5" s="4451"/>
      <c r="G5" s="4451"/>
      <c r="H5" s="4451"/>
      <c r="I5" s="4451"/>
      <c r="J5" s="239"/>
      <c r="K5" s="2019"/>
    </row>
    <row r="6" spans="1:11">
      <c r="A6" s="239"/>
      <c r="B6" s="239"/>
      <c r="C6" s="239"/>
      <c r="D6" s="239"/>
      <c r="E6" s="239"/>
      <c r="F6" s="239"/>
      <c r="G6" s="239"/>
      <c r="H6" s="239"/>
      <c r="I6" s="239"/>
      <c r="J6" s="239"/>
      <c r="K6" s="2019"/>
    </row>
    <row r="7" spans="1:11" ht="31.5" customHeight="1">
      <c r="A7" s="4442" t="s">
        <v>1403</v>
      </c>
      <c r="B7" s="4443" t="s">
        <v>1404</v>
      </c>
      <c r="C7" s="4443"/>
      <c r="D7" s="4443"/>
      <c r="E7" s="4443"/>
      <c r="F7" s="4444" t="s">
        <v>1405</v>
      </c>
      <c r="G7" s="4444"/>
      <c r="H7" s="4444"/>
      <c r="I7" s="4444"/>
      <c r="J7" s="239"/>
      <c r="K7" s="2019"/>
    </row>
    <row r="8" spans="1:11" ht="16.5" customHeight="1">
      <c r="A8" s="4442"/>
      <c r="B8" s="4443"/>
      <c r="C8" s="4443"/>
      <c r="D8" s="4443"/>
      <c r="E8" s="4443"/>
      <c r="F8" s="4444"/>
      <c r="G8" s="4444"/>
      <c r="H8" s="4444"/>
      <c r="I8" s="4444"/>
      <c r="J8" s="1049"/>
      <c r="K8" s="2019"/>
    </row>
    <row r="9" spans="1:11" ht="25.5" customHeight="1">
      <c r="A9" s="4442"/>
      <c r="B9" s="4445" t="s">
        <v>1406</v>
      </c>
      <c r="C9" s="4446" t="s">
        <v>1407</v>
      </c>
      <c r="D9" s="4446" t="s">
        <v>1408</v>
      </c>
      <c r="E9" s="4447" t="s">
        <v>1409</v>
      </c>
      <c r="F9" s="4449" t="s">
        <v>1406</v>
      </c>
      <c r="G9" s="4450" t="s">
        <v>1410</v>
      </c>
      <c r="H9" s="4450"/>
      <c r="I9" s="4447" t="s">
        <v>1409</v>
      </c>
      <c r="J9" s="1049"/>
      <c r="K9" s="2020"/>
    </row>
    <row r="10" spans="1:11" ht="15.75" customHeight="1">
      <c r="A10" s="4442"/>
      <c r="B10" s="4445"/>
      <c r="C10" s="4446"/>
      <c r="D10" s="4446"/>
      <c r="E10" s="4447"/>
      <c r="F10" s="4449"/>
      <c r="G10" s="4448" t="s">
        <v>1411</v>
      </c>
      <c r="H10" s="4448" t="s">
        <v>1408</v>
      </c>
      <c r="I10" s="4447"/>
      <c r="J10" s="1049"/>
      <c r="K10" s="2020"/>
    </row>
    <row r="11" spans="1:11" ht="15.75">
      <c r="A11" s="4442"/>
      <c r="B11" s="4445"/>
      <c r="C11" s="4446"/>
      <c r="D11" s="4446"/>
      <c r="E11" s="4447"/>
      <c r="F11" s="4449"/>
      <c r="G11" s="4448"/>
      <c r="H11" s="4448"/>
      <c r="I11" s="4447"/>
      <c r="J11" s="1049"/>
      <c r="K11" s="2020"/>
    </row>
    <row r="12" spans="1:11" ht="31.5" customHeight="1">
      <c r="A12" s="619" t="s">
        <v>1412</v>
      </c>
      <c r="B12" s="2375">
        <v>790440</v>
      </c>
      <c r="C12" s="2376"/>
      <c r="D12" s="2376"/>
      <c r="E12" s="1540">
        <f>B12+C12-D12</f>
        <v>790440</v>
      </c>
      <c r="F12" s="2375">
        <v>779523</v>
      </c>
      <c r="G12" s="2376">
        <v>1400</v>
      </c>
      <c r="H12" s="2376"/>
      <c r="I12" s="1543">
        <f>F12+G12-H12</f>
        <v>780923</v>
      </c>
      <c r="J12" s="1050">
        <f>E12-I12</f>
        <v>9517</v>
      </c>
      <c r="K12" s="2021" t="str">
        <f>IF(J12&lt;&gt;'ANEXA 1'!E19,"eroare"," ")</f>
        <v xml:space="preserve"> </v>
      </c>
    </row>
    <row r="13" spans="1:11" ht="31.5" customHeight="1">
      <c r="A13" s="620" t="s">
        <v>1413</v>
      </c>
      <c r="B13" s="2833">
        <v>521529</v>
      </c>
      <c r="C13" s="2834"/>
      <c r="D13" s="2834"/>
      <c r="E13" s="2835">
        <f>B13+C13-D13</f>
        <v>521529</v>
      </c>
      <c r="F13" s="2833">
        <v>498762</v>
      </c>
      <c r="G13" s="2834">
        <v>3282</v>
      </c>
      <c r="H13" s="2834"/>
      <c r="I13" s="2839">
        <f>F13+G13-H13</f>
        <v>502044</v>
      </c>
      <c r="J13" s="1050">
        <f>E13-I13</f>
        <v>19485</v>
      </c>
      <c r="K13" s="2021"/>
    </row>
    <row r="14" spans="1:11" ht="66" customHeight="1">
      <c r="A14" s="621" t="s">
        <v>1414</v>
      </c>
      <c r="B14" s="2833">
        <v>67841</v>
      </c>
      <c r="C14" s="2834"/>
      <c r="D14" s="2834"/>
      <c r="E14" s="2835">
        <f>B14+C14-D14</f>
        <v>67841</v>
      </c>
      <c r="F14" s="2833">
        <v>52134</v>
      </c>
      <c r="G14" s="2834">
        <v>1489</v>
      </c>
      <c r="H14" s="2834"/>
      <c r="I14" s="2835">
        <f>F14+G14-H14</f>
        <v>53623</v>
      </c>
      <c r="J14" s="1051">
        <f>E14-I14</f>
        <v>14218</v>
      </c>
      <c r="K14" s="2021" t="str">
        <f>IF(J14+J13&lt;&gt;'ANEXA 1'!E20,"eroare"," ")</f>
        <v xml:space="preserve"> </v>
      </c>
    </row>
    <row r="15" spans="1:11" ht="15.75">
      <c r="A15" s="1541" t="s">
        <v>1415</v>
      </c>
      <c r="B15" s="2833">
        <v>2088855</v>
      </c>
      <c r="C15" s="2834">
        <v>1248</v>
      </c>
      <c r="D15" s="2834"/>
      <c r="E15" s="2835">
        <f>B15+C15-D15</f>
        <v>2090103</v>
      </c>
      <c r="F15" s="2833">
        <v>13193</v>
      </c>
      <c r="G15" s="2834">
        <v>20959</v>
      </c>
      <c r="H15" s="2834"/>
      <c r="I15" s="2839">
        <f>F15+G15-H15</f>
        <v>34152</v>
      </c>
      <c r="J15" s="1050">
        <f>E15-I15</f>
        <v>2055951</v>
      </c>
      <c r="K15" s="2021" t="str">
        <f>IF(J15+J16&lt;&gt;'ANEXA 1'!E21,"eroare"," ")</f>
        <v xml:space="preserve"> </v>
      </c>
    </row>
    <row r="16" spans="1:11" ht="31.5">
      <c r="A16" s="1542" t="s">
        <v>1187</v>
      </c>
      <c r="B16" s="2836"/>
      <c r="C16" s="2837"/>
      <c r="D16" s="2837"/>
      <c r="E16" s="2838">
        <f>B16+C16-D16</f>
        <v>0</v>
      </c>
      <c r="F16" s="2836"/>
      <c r="G16" s="2837"/>
      <c r="H16" s="2837"/>
      <c r="I16" s="2840"/>
      <c r="J16" s="1050">
        <f>E16-I16</f>
        <v>0</v>
      </c>
      <c r="K16" s="2021"/>
    </row>
    <row r="17" spans="1:11" ht="15.75">
      <c r="A17" s="622" t="s">
        <v>231</v>
      </c>
      <c r="B17" s="623">
        <f>ROUND(SUM(B12:B16),1)</f>
        <v>3468665</v>
      </c>
      <c r="C17" s="624">
        <f>ROUND(SUM(C12:C16),1)</f>
        <v>1248</v>
      </c>
      <c r="D17" s="624">
        <f>ROUND(SUM(D12:D16),1)</f>
        <v>0</v>
      </c>
      <c r="E17" s="625">
        <f>ROUND(SUM(E12:E16),1)</f>
        <v>3469913</v>
      </c>
      <c r="F17" s="626">
        <f t="shared" ref="F17" si="0">ROUND(SUM(F12:F15),1)</f>
        <v>1343612</v>
      </c>
      <c r="G17" s="624">
        <f>ROUND(SUM(G12:G16),1)</f>
        <v>27130</v>
      </c>
      <c r="H17" s="624">
        <f>ROUND(SUM(H12:H16),1)</f>
        <v>0</v>
      </c>
      <c r="I17" s="627">
        <f>ROUND(SUM(I12:I16),1)</f>
        <v>1370742</v>
      </c>
      <c r="J17" s="1049"/>
      <c r="K17" s="2020"/>
    </row>
    <row r="18" spans="1:11" s="2017" customFormat="1" ht="15.75" hidden="1">
      <c r="A18" s="2015"/>
      <c r="B18" s="1787">
        <f>+'ANEXA 35 a1'!E39+'ANEXA 35 b1'!F37</f>
        <v>0</v>
      </c>
      <c r="C18" s="1787">
        <f>+'ANEXA 35 a1'!F39+'ANEXA 35 b1'!G37</f>
        <v>0</v>
      </c>
      <c r="D18" s="1787">
        <f>'ANEXA 35 a2'!C38+'ANEXA 35 b2'!C37</f>
        <v>0</v>
      </c>
      <c r="E18" s="1787">
        <f>'ANEXA 35 a2'!J38+'ANEXA 35 b2'!I37</f>
        <v>0</v>
      </c>
      <c r="F18" s="1787">
        <f>'ANEXA 35 a2'!K38</f>
        <v>0</v>
      </c>
      <c r="G18" s="1787">
        <f>'ANEXA 35 a2'!L38</f>
        <v>0</v>
      </c>
      <c r="H18" s="1787">
        <f>'ANEXA 35 a2'!M38</f>
        <v>0</v>
      </c>
      <c r="I18" s="1787">
        <f>'ANEXA 35 a2'!N38</f>
        <v>0</v>
      </c>
      <c r="J18" s="2016"/>
      <c r="K18" s="2022"/>
    </row>
    <row r="19" spans="1:11" s="2017" customFormat="1" ht="15.75" hidden="1">
      <c r="A19" s="2015"/>
      <c r="B19" s="2018" t="str">
        <f t="shared" ref="B19:I19" si="1">IF(B17&lt;&gt;B18,"eroare"," ")</f>
        <v>eroare</v>
      </c>
      <c r="C19" s="2018" t="str">
        <f t="shared" si="1"/>
        <v>eroare</v>
      </c>
      <c r="D19" s="2018" t="str">
        <f t="shared" si="1"/>
        <v xml:space="preserve"> </v>
      </c>
      <c r="E19" s="2018" t="str">
        <f t="shared" si="1"/>
        <v>eroare</v>
      </c>
      <c r="F19" s="2018" t="str">
        <f t="shared" si="1"/>
        <v>eroare</v>
      </c>
      <c r="G19" s="2018" t="str">
        <f t="shared" si="1"/>
        <v>eroare</v>
      </c>
      <c r="H19" s="2018" t="str">
        <f t="shared" si="1"/>
        <v xml:space="preserve"> </v>
      </c>
      <c r="I19" s="2018" t="str">
        <f t="shared" si="1"/>
        <v>eroare</v>
      </c>
      <c r="J19" s="2016"/>
      <c r="K19" s="2022"/>
    </row>
    <row r="20" spans="1:11" s="628" customFormat="1" ht="15.75">
      <c r="A20" s="629"/>
      <c r="B20" s="1785"/>
      <c r="C20" s="1785"/>
      <c r="D20" s="1785"/>
      <c r="E20" s="1785"/>
      <c r="F20" s="1786"/>
      <c r="G20" s="1786"/>
      <c r="H20" s="1786"/>
      <c r="I20" s="1786"/>
      <c r="J20" s="1507"/>
      <c r="K20" s="2023"/>
    </row>
    <row r="21" spans="1:11" ht="15.75">
      <c r="B21" s="1786"/>
      <c r="C21" s="1786"/>
      <c r="D21" s="1786"/>
      <c r="E21" s="1367"/>
      <c r="F21" s="1784"/>
      <c r="G21" s="1784"/>
      <c r="H21" s="1784"/>
      <c r="I21" s="1784"/>
      <c r="J21" s="1507"/>
      <c r="K21" s="2019"/>
    </row>
    <row r="22" spans="1:11" ht="15.75" customHeight="1">
      <c r="A22" s="4148" t="str">
        <f>'ANEXA 1'!B94</f>
        <v>DIRECTOR  GENERAL,</v>
      </c>
      <c r="B22" s="4148"/>
      <c r="C22" s="59"/>
      <c r="D22" s="67"/>
      <c r="E22" s="4003" t="str">
        <f>'ANEXA 1'!D94</f>
        <v>DIRECTOR  EXECUTIV  ECONOMIC,</v>
      </c>
      <c r="F22" s="4003"/>
      <c r="G22" s="4003"/>
      <c r="H22" s="67"/>
      <c r="I22" s="67"/>
      <c r="J22" s="1049"/>
      <c r="K22" s="2019"/>
    </row>
    <row r="23" spans="1:11" ht="15">
      <c r="E23" s="322"/>
      <c r="F23" s="322"/>
      <c r="G23" s="322"/>
      <c r="J23" s="1049"/>
    </row>
    <row r="24" spans="1:11" ht="15.75">
      <c r="A24" s="4010" t="str">
        <f>'ANEXA 1'!B96</f>
        <v>EC.ALBU DRINA</v>
      </c>
      <c r="B24" s="4010"/>
      <c r="E24" s="4010" t="str">
        <f>'ANEXA 1'!D96</f>
        <v>EC.BIRCU FLORINA</v>
      </c>
      <c r="F24" s="4010"/>
      <c r="G24" s="4010"/>
      <c r="J24" s="1049"/>
    </row>
    <row r="25" spans="1:11" ht="15">
      <c r="A25" s="4009">
        <f>'ANEXA 1'!B97</f>
        <v>0</v>
      </c>
      <c r="B25" s="4009"/>
      <c r="J25" s="1049"/>
    </row>
    <row r="26" spans="1:11" ht="15">
      <c r="J26" s="1049"/>
    </row>
    <row r="27" spans="1:11" ht="15">
      <c r="J27" s="1049"/>
    </row>
    <row r="28" spans="1:11" ht="15.75">
      <c r="A28" s="4006">
        <f>+'ANEXA 1'!B99</f>
        <v>0</v>
      </c>
      <c r="B28" s="4007"/>
      <c r="E28" s="4017">
        <f>'ANEXA 1'!D99</f>
        <v>0</v>
      </c>
      <c r="F28" s="4017"/>
      <c r="G28" s="4017"/>
      <c r="J28" s="1049"/>
    </row>
    <row r="29" spans="1:11" ht="15.75">
      <c r="A29" s="719"/>
      <c r="B29" s="719"/>
      <c r="E29" s="269"/>
      <c r="F29" s="269"/>
      <c r="G29" s="269"/>
      <c r="J29" s="1049"/>
    </row>
    <row r="30" spans="1:11" ht="15.75">
      <c r="A30" s="4007">
        <f>+'ANEXA 1'!B101</f>
        <v>0</v>
      </c>
      <c r="B30" s="4007"/>
      <c r="E30" s="4017">
        <f>'ANEXA 1'!D101</f>
        <v>0</v>
      </c>
      <c r="F30" s="4017"/>
      <c r="G30" s="4017"/>
      <c r="J30" s="1049"/>
    </row>
    <row r="31" spans="1:11" ht="15">
      <c r="G31" s="2024"/>
      <c r="J31" s="1049"/>
    </row>
    <row r="32" spans="1:11" ht="15">
      <c r="J32" s="1049"/>
    </row>
    <row r="33" spans="7:10" s="48" customFormat="1" ht="15">
      <c r="G33" s="2025"/>
      <c r="J33" s="1049"/>
    </row>
    <row r="34" spans="7:10" s="48" customFormat="1" ht="15">
      <c r="J34" s="1049"/>
    </row>
    <row r="35" spans="7:10" s="48" customFormat="1" ht="15">
      <c r="J35" s="1049"/>
    </row>
    <row r="36" spans="7:10" s="48" customFormat="1" ht="15">
      <c r="J36" s="1049"/>
    </row>
    <row r="37" spans="7:10" s="48" customFormat="1" ht="15">
      <c r="J37" s="1049"/>
    </row>
    <row r="38" spans="7:10" s="48" customFormat="1" ht="15">
      <c r="J38" s="1049"/>
    </row>
    <row r="39" spans="7:10" s="48" customFormat="1" ht="15">
      <c r="J39" s="1049"/>
    </row>
    <row r="40" spans="7:10" s="48" customFormat="1" ht="15">
      <c r="J40" s="1049"/>
    </row>
    <row r="41" spans="7:10" s="48" customFormat="1" ht="15">
      <c r="J41" s="1049"/>
    </row>
    <row r="42" spans="7:10" s="48" customFormat="1" ht="15">
      <c r="J42" s="1049"/>
    </row>
    <row r="43" spans="7:10" s="48" customFormat="1" ht="15">
      <c r="J43" s="1049"/>
    </row>
  </sheetData>
  <sheetProtection password="CFDD" sheet="1" objects="1" scenarios="1"/>
  <mergeCells count="24">
    <mergeCell ref="A1:E1"/>
    <mergeCell ref="A7:A11"/>
    <mergeCell ref="B7:E8"/>
    <mergeCell ref="F7:I8"/>
    <mergeCell ref="B9:B11"/>
    <mergeCell ref="C9:C11"/>
    <mergeCell ref="D9:D11"/>
    <mergeCell ref="E9:E11"/>
    <mergeCell ref="I9:I11"/>
    <mergeCell ref="G10:G11"/>
    <mergeCell ref="H10:H11"/>
    <mergeCell ref="F9:F11"/>
    <mergeCell ref="G9:H9"/>
    <mergeCell ref="A4:I4"/>
    <mergeCell ref="A5:I5"/>
    <mergeCell ref="A25:B25"/>
    <mergeCell ref="A22:B22"/>
    <mergeCell ref="E22:G22"/>
    <mergeCell ref="E28:G28"/>
    <mergeCell ref="E30:G30"/>
    <mergeCell ref="A24:B24"/>
    <mergeCell ref="E24:G24"/>
    <mergeCell ref="A28:B28"/>
    <mergeCell ref="A30:B30"/>
  </mergeCells>
  <phoneticPr fontId="0" type="noConversion"/>
  <dataValidations count="1">
    <dataValidation type="whole" allowBlank="1" showErrorMessage="1" sqref="B12:I17">
      <formula1>-9.99999999999999E+24</formula1>
      <formula2>9.99999999999999E+25</formula2>
    </dataValidation>
  </dataValidations>
  <pageMargins left="0.62992125984251968" right="0.47244094488188981" top="0.55118110236220474" bottom="0.35433070866141736" header="0.51181102362204722" footer="0.51181102362204722"/>
  <pageSetup paperSize="9" scale="87" firstPageNumber="0" orientation="landscape" r:id="rId1"/>
  <headerFooter alignWithMargins="0"/>
  <rowBreaks count="1" manualBreakCount="1">
    <brk id="43" max="8" man="1"/>
  </rowBreaks>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57">
    <tabColor rgb="FF7030A0"/>
  </sheetPr>
  <dimension ref="A1:M185"/>
  <sheetViews>
    <sheetView showZeros="0" zoomScaleNormal="100" workbookViewId="0">
      <selection activeCell="I8" sqref="I8"/>
    </sheetView>
  </sheetViews>
  <sheetFormatPr defaultRowHeight="18"/>
  <cols>
    <col min="1" max="1" width="35.140625" style="983" customWidth="1"/>
    <col min="2" max="4" width="16.7109375" style="984" customWidth="1"/>
    <col min="5" max="5" width="18.140625" style="984" customWidth="1"/>
    <col min="6" max="6" width="19.140625" style="984" customWidth="1"/>
    <col min="7" max="7" width="13" style="715" hidden="1" customWidth="1"/>
    <col min="8" max="8" width="7.7109375" style="715" hidden="1" customWidth="1"/>
    <col min="9" max="9" width="15.5703125" style="984" customWidth="1"/>
    <col min="10" max="10" width="19.85546875" style="984" hidden="1" customWidth="1"/>
    <col min="11" max="11" width="14.28515625" style="984" customWidth="1"/>
    <col min="12" max="12" width="11.42578125" style="1928" customWidth="1"/>
    <col min="13" max="13" width="10.5703125" customWidth="1"/>
  </cols>
  <sheetData>
    <row r="1" spans="1:7" customFormat="1" ht="25.5" customHeight="1">
      <c r="A1" s="4452" t="str">
        <f>+'ANEXA 1'!A1:E1</f>
        <v>CASA  DE  ASIGURĂRI  DE  SĂNĂTATE MEHEDINTI</v>
      </c>
      <c r="B1" s="4452"/>
      <c r="C1" s="4452"/>
      <c r="D1" s="4452"/>
      <c r="E1" s="4452"/>
      <c r="F1" s="984"/>
      <c r="G1" s="715"/>
    </row>
    <row r="2" spans="1:7" customFormat="1" ht="15.75" customHeight="1">
      <c r="A2" s="4453" t="s">
        <v>1782</v>
      </c>
      <c r="B2" s="4453"/>
      <c r="C2" s="4453"/>
      <c r="D2" s="4453"/>
      <c r="E2" s="4453"/>
      <c r="F2" s="4453"/>
      <c r="G2" s="715"/>
    </row>
    <row r="3" spans="1:7" customFormat="1" ht="16.5" customHeight="1">
      <c r="A3" s="4453" t="str">
        <f>'ANEXA 1'!A12</f>
        <v>la  data  de  30  IUNIE  2023</v>
      </c>
      <c r="B3" s="4453"/>
      <c r="C3" s="4453"/>
      <c r="D3" s="4453"/>
      <c r="E3" s="4453"/>
      <c r="F3" s="4453"/>
      <c r="G3" s="715"/>
    </row>
    <row r="4" spans="1:7" customFormat="1" ht="12.75">
      <c r="A4" s="983"/>
      <c r="B4" s="984"/>
      <c r="C4" s="984"/>
      <c r="D4" s="984"/>
      <c r="E4" s="984"/>
      <c r="F4" s="2048" t="s">
        <v>1031</v>
      </c>
      <c r="G4" s="715"/>
    </row>
    <row r="5" spans="1:7" customFormat="1" ht="24.6" customHeight="1">
      <c r="A5" s="4458" t="s">
        <v>430</v>
      </c>
      <c r="B5" s="4454" t="s">
        <v>429</v>
      </c>
      <c r="C5" s="4456" t="s">
        <v>2561</v>
      </c>
      <c r="D5" s="4457"/>
      <c r="E5" s="4456" t="s">
        <v>2180</v>
      </c>
      <c r="F5" s="4457"/>
      <c r="G5" s="2049"/>
    </row>
    <row r="6" spans="1:7" customFormat="1" ht="25.15" customHeight="1">
      <c r="A6" s="4459"/>
      <c r="B6" s="4455"/>
      <c r="C6" s="3024" t="s">
        <v>431</v>
      </c>
      <c r="D6" s="3025" t="s">
        <v>432</v>
      </c>
      <c r="E6" s="3024" t="s">
        <v>431</v>
      </c>
      <c r="F6" s="3025" t="s">
        <v>432</v>
      </c>
      <c r="G6" s="715"/>
    </row>
    <row r="7" spans="1:7" customFormat="1" ht="25.5" customHeight="1">
      <c r="A7" s="988" t="s">
        <v>1668</v>
      </c>
      <c r="B7" s="989">
        <v>1010000</v>
      </c>
      <c r="C7" s="3837"/>
      <c r="D7" s="3002">
        <v>1904075</v>
      </c>
      <c r="E7" s="992"/>
      <c r="F7" s="993">
        <v>1904075</v>
      </c>
      <c r="G7" s="715"/>
    </row>
    <row r="8" spans="1:7" customFormat="1" ht="25.5" customHeight="1">
      <c r="A8" s="990" t="s">
        <v>1669</v>
      </c>
      <c r="B8" s="985">
        <v>1020101</v>
      </c>
      <c r="C8" s="3838"/>
      <c r="D8" s="3953"/>
      <c r="E8" s="994"/>
      <c r="F8" s="995"/>
      <c r="G8" s="715"/>
    </row>
    <row r="9" spans="1:7" customFormat="1" ht="25.5" customHeight="1">
      <c r="A9" s="991" t="s">
        <v>1670</v>
      </c>
      <c r="B9" s="985">
        <v>1030000</v>
      </c>
      <c r="C9" s="3838"/>
      <c r="D9" s="3953"/>
      <c r="E9" s="994"/>
      <c r="F9" s="995"/>
      <c r="G9" s="715"/>
    </row>
    <row r="10" spans="1:7" customFormat="1" ht="25.5" customHeight="1">
      <c r="A10" s="991" t="s">
        <v>1671</v>
      </c>
      <c r="B10" s="985">
        <v>1050100</v>
      </c>
      <c r="C10" s="3838"/>
      <c r="D10" s="3953">
        <v>176371</v>
      </c>
      <c r="E10" s="994"/>
      <c r="F10" s="995">
        <v>176357</v>
      </c>
      <c r="G10" s="715"/>
    </row>
    <row r="11" spans="1:7" customFormat="1" ht="25.5" customHeight="1">
      <c r="A11" s="991" t="s">
        <v>1672</v>
      </c>
      <c r="B11" s="985">
        <v>1050200</v>
      </c>
      <c r="C11" s="3838"/>
      <c r="D11" s="3953"/>
      <c r="E11" s="994"/>
      <c r="F11" s="995"/>
      <c r="G11" s="715"/>
    </row>
    <row r="12" spans="1:7" customFormat="1" ht="38.25">
      <c r="A12" s="991" t="s">
        <v>1673</v>
      </c>
      <c r="B12" s="985">
        <v>1050300</v>
      </c>
      <c r="C12" s="3838"/>
      <c r="D12" s="3953">
        <v>2950</v>
      </c>
      <c r="E12" s="994"/>
      <c r="F12" s="995">
        <v>2950</v>
      </c>
      <c r="G12" s="715"/>
    </row>
    <row r="13" spans="1:7" customFormat="1" ht="51">
      <c r="A13" s="991" t="s">
        <v>1674</v>
      </c>
      <c r="B13" s="985">
        <v>1050400</v>
      </c>
      <c r="C13" s="3838"/>
      <c r="D13" s="3953">
        <v>11111</v>
      </c>
      <c r="E13" s="994"/>
      <c r="F13" s="995">
        <v>11111</v>
      </c>
      <c r="G13" s="715"/>
    </row>
    <row r="14" spans="1:7" customFormat="1" ht="25.5">
      <c r="A14" s="991" t="s">
        <v>1675</v>
      </c>
      <c r="B14" s="985">
        <v>1050500</v>
      </c>
      <c r="C14" s="3838"/>
      <c r="D14" s="3003"/>
      <c r="E14" s="994"/>
      <c r="F14" s="995"/>
      <c r="G14" s="715"/>
    </row>
    <row r="15" spans="1:7" customFormat="1" ht="25.5" customHeight="1">
      <c r="A15" s="991" t="s">
        <v>1676</v>
      </c>
      <c r="B15" s="985">
        <v>1170000</v>
      </c>
      <c r="C15" s="3953">
        <v>6064824</v>
      </c>
      <c r="D15" s="3003"/>
      <c r="E15" s="994">
        <v>19517653</v>
      </c>
      <c r="F15" s="995"/>
      <c r="G15" s="715"/>
    </row>
    <row r="16" spans="1:7" customFormat="1" ht="25.5" customHeight="1">
      <c r="A16" s="991" t="s">
        <v>1677</v>
      </c>
      <c r="B16" s="985">
        <v>1210000</v>
      </c>
      <c r="C16" s="3953">
        <v>204182951</v>
      </c>
      <c r="D16" s="3003"/>
      <c r="E16" s="994">
        <v>76732313</v>
      </c>
      <c r="F16" s="995"/>
      <c r="G16" s="715"/>
    </row>
    <row r="17" spans="1:12" ht="25.5" customHeight="1">
      <c r="A17" s="991" t="s">
        <v>1678</v>
      </c>
      <c r="B17" s="985">
        <v>1330000</v>
      </c>
      <c r="C17" s="3838"/>
      <c r="D17" s="3838"/>
      <c r="E17" s="994"/>
      <c r="F17" s="995"/>
    </row>
    <row r="18" spans="1:12" ht="38.25">
      <c r="A18" s="991" t="s">
        <v>1679</v>
      </c>
      <c r="B18" s="985">
        <v>1510101</v>
      </c>
      <c r="C18" s="3838"/>
      <c r="D18" s="3838"/>
      <c r="E18" s="1269"/>
      <c r="F18" s="995"/>
    </row>
    <row r="19" spans="1:12" ht="25.5" customHeight="1">
      <c r="A19" s="991" t="s">
        <v>1680</v>
      </c>
      <c r="B19" s="985">
        <v>1510103</v>
      </c>
      <c r="C19" s="3838"/>
      <c r="D19" s="3838"/>
      <c r="E19" s="1269"/>
      <c r="F19" s="995"/>
    </row>
    <row r="20" spans="1:12" ht="38.25">
      <c r="A20" s="2044" t="s">
        <v>2393</v>
      </c>
      <c r="B20" s="985">
        <v>1510108</v>
      </c>
      <c r="C20" s="3838"/>
      <c r="D20" s="3838"/>
      <c r="E20" s="1269"/>
      <c r="F20" s="995"/>
    </row>
    <row r="21" spans="1:12" ht="38.25">
      <c r="A21" s="991" t="s">
        <v>1681</v>
      </c>
      <c r="B21" s="985">
        <v>1510201</v>
      </c>
      <c r="C21" s="3838"/>
      <c r="D21" s="3838"/>
      <c r="E21" s="994"/>
      <c r="F21" s="995"/>
    </row>
    <row r="22" spans="1:12" ht="25.5" customHeight="1">
      <c r="A22" s="991" t="s">
        <v>1682</v>
      </c>
      <c r="B22" s="986">
        <v>1510203</v>
      </c>
      <c r="C22" s="3839"/>
      <c r="D22" s="3004">
        <v>39890</v>
      </c>
      <c r="E22" s="994"/>
      <c r="F22" s="995">
        <v>31860</v>
      </c>
    </row>
    <row r="23" spans="1:12" ht="38.25">
      <c r="A23" s="2044" t="s">
        <v>2394</v>
      </c>
      <c r="B23" s="986">
        <v>1510208</v>
      </c>
      <c r="C23" s="3839"/>
      <c r="D23" s="3004">
        <v>5186538</v>
      </c>
      <c r="E23" s="994"/>
      <c r="F23" s="995">
        <v>7300916</v>
      </c>
    </row>
    <row r="24" spans="1:12" ht="63.75">
      <c r="A24" s="991" t="s">
        <v>1683</v>
      </c>
      <c r="B24" s="985">
        <v>1660104</v>
      </c>
      <c r="C24" s="3838"/>
      <c r="D24" s="3838"/>
      <c r="E24" s="994"/>
      <c r="F24" s="995"/>
    </row>
    <row r="25" spans="1:12" ht="63.75">
      <c r="A25" s="991" t="s">
        <v>1684</v>
      </c>
      <c r="B25" s="985">
        <v>1660204</v>
      </c>
      <c r="C25" s="3838"/>
      <c r="D25" s="3003"/>
      <c r="E25" s="994"/>
      <c r="F25" s="995"/>
    </row>
    <row r="26" spans="1:12" ht="25.5" customHeight="1">
      <c r="A26" s="4461" t="s">
        <v>1661</v>
      </c>
      <c r="B26" s="4462"/>
      <c r="C26" s="3005">
        <f>SUM(C7:C25)</f>
        <v>210247775</v>
      </c>
      <c r="D26" s="3005">
        <f>SUM(D7:D25)</f>
        <v>7320935</v>
      </c>
      <c r="E26" s="1234">
        <f>SUM(E7:E25)</f>
        <v>96249966</v>
      </c>
      <c r="F26" s="1235">
        <f>SUM(F7:F25)</f>
        <v>9427269</v>
      </c>
      <c r="H26" s="717">
        <f>E26-F26</f>
        <v>86822697</v>
      </c>
      <c r="I26" s="2572">
        <f>IF(H26&gt;0,H26,0)</f>
        <v>86822697</v>
      </c>
      <c r="J26" s="2572">
        <f>F26-E26</f>
        <v>-86822697</v>
      </c>
      <c r="K26" s="2572">
        <f>IF(J26&gt;0,J26,0)</f>
        <v>0</v>
      </c>
    </row>
    <row r="27" spans="1:12" ht="25.5" customHeight="1">
      <c r="A27" s="991" t="s">
        <v>1685</v>
      </c>
      <c r="B27" s="985">
        <v>2050000</v>
      </c>
      <c r="C27" s="3954">
        <v>790440</v>
      </c>
      <c r="D27" s="3838"/>
      <c r="E27" s="994">
        <v>790440</v>
      </c>
      <c r="F27" s="995"/>
      <c r="H27" s="717"/>
    </row>
    <row r="28" spans="1:12" ht="25.5" customHeight="1">
      <c r="A28" s="991" t="s">
        <v>1686</v>
      </c>
      <c r="B28" s="985">
        <v>2080100</v>
      </c>
      <c r="C28" s="3954"/>
      <c r="D28" s="3838"/>
      <c r="E28" s="994"/>
      <c r="F28" s="995"/>
      <c r="H28" s="717"/>
      <c r="L28" s="1929" t="str">
        <f>IF(E27+E28+E29&lt;&gt;'NOTA 1'!E12,"eroare"," ")</f>
        <v xml:space="preserve"> </v>
      </c>
    </row>
    <row r="29" spans="1:12" ht="25.5" customHeight="1">
      <c r="A29" s="991" t="s">
        <v>1687</v>
      </c>
      <c r="B29" s="985">
        <v>2080200</v>
      </c>
      <c r="C29" s="3954"/>
      <c r="D29" s="3838"/>
      <c r="E29" s="994"/>
      <c r="F29" s="995"/>
      <c r="H29" s="717"/>
    </row>
    <row r="30" spans="1:12" ht="25.5" customHeight="1">
      <c r="A30" s="991" t="s">
        <v>1688</v>
      </c>
      <c r="B30" s="985">
        <v>2110100</v>
      </c>
      <c r="C30" s="3954"/>
      <c r="D30" s="3838"/>
      <c r="E30" s="994"/>
      <c r="F30" s="995"/>
      <c r="H30" s="717"/>
      <c r="L30" s="1929" t="str">
        <f>IF(E30+E31+E32+E38&lt;&gt;'NOTA 1'!E15+'NOTA 1'!E16,"eroare"," ")</f>
        <v xml:space="preserve"> </v>
      </c>
    </row>
    <row r="31" spans="1:12" ht="25.5" customHeight="1">
      <c r="A31" s="991" t="s">
        <v>1689</v>
      </c>
      <c r="B31" s="985">
        <v>2110200</v>
      </c>
      <c r="C31" s="3954">
        <v>171587</v>
      </c>
      <c r="D31" s="3838"/>
      <c r="E31" s="994">
        <v>172835</v>
      </c>
      <c r="F31" s="995"/>
      <c r="H31" s="717"/>
    </row>
    <row r="32" spans="1:12" ht="25.5" customHeight="1">
      <c r="A32" s="991" t="s">
        <v>1690</v>
      </c>
      <c r="B32" s="985">
        <v>2120901</v>
      </c>
      <c r="C32" s="3954">
        <v>1917268</v>
      </c>
      <c r="D32" s="3838"/>
      <c r="E32" s="994">
        <v>1917268</v>
      </c>
      <c r="F32" s="995"/>
      <c r="H32" s="717"/>
    </row>
    <row r="33" spans="1:12" ht="25.5" customHeight="1">
      <c r="A33" s="991" t="s">
        <v>1691</v>
      </c>
      <c r="B33" s="985">
        <v>2130100</v>
      </c>
      <c r="C33" s="3954">
        <v>107451</v>
      </c>
      <c r="D33" s="3838"/>
      <c r="E33" s="994">
        <v>107451</v>
      </c>
      <c r="F33" s="995"/>
      <c r="H33" s="717"/>
      <c r="L33" s="1929" t="str">
        <f>IF(E33+E34+E35&lt;&gt;'NOTA 1'!E13,"eroare"," ")</f>
        <v xml:space="preserve"> </v>
      </c>
    </row>
    <row r="34" spans="1:12" ht="25.5" customHeight="1">
      <c r="A34" s="3015" t="s">
        <v>1691</v>
      </c>
      <c r="B34" s="3016">
        <v>2130200</v>
      </c>
      <c r="C34" s="3954">
        <v>299773</v>
      </c>
      <c r="D34" s="3840"/>
      <c r="E34" s="3017">
        <v>299773</v>
      </c>
      <c r="F34" s="3018"/>
      <c r="H34" s="717"/>
    </row>
    <row r="35" spans="1:12" ht="25.5" customHeight="1">
      <c r="A35" s="3010" t="s">
        <v>1692</v>
      </c>
      <c r="B35" s="3011">
        <v>2130300</v>
      </c>
      <c r="C35" s="3954">
        <v>114305</v>
      </c>
      <c r="D35" s="3841"/>
      <c r="E35" s="3013">
        <v>114305</v>
      </c>
      <c r="F35" s="3014"/>
      <c r="H35" s="717"/>
    </row>
    <row r="36" spans="1:12" ht="38.25">
      <c r="A36" s="991" t="s">
        <v>1693</v>
      </c>
      <c r="B36" s="985">
        <v>2140000</v>
      </c>
      <c r="C36" s="3954">
        <v>67841</v>
      </c>
      <c r="D36" s="3838"/>
      <c r="E36" s="994">
        <v>67841</v>
      </c>
      <c r="F36" s="995"/>
      <c r="H36" s="717"/>
      <c r="L36" s="1929" t="str">
        <f>IF(E36&lt;&gt;'NOTA 1'!E14,"eroare"," ")</f>
        <v xml:space="preserve"> </v>
      </c>
    </row>
    <row r="37" spans="1:12" ht="25.5" customHeight="1">
      <c r="A37" s="991" t="s">
        <v>1694</v>
      </c>
      <c r="B37" s="985">
        <v>2150000</v>
      </c>
      <c r="C37" s="3838">
        <v>0</v>
      </c>
      <c r="D37" s="3838"/>
      <c r="E37" s="994">
        <v>0</v>
      </c>
      <c r="F37" s="995"/>
    </row>
    <row r="38" spans="1:12" ht="25.5" customHeight="1">
      <c r="A38" s="991" t="s">
        <v>1695</v>
      </c>
      <c r="B38" s="985">
        <v>2310000</v>
      </c>
      <c r="C38" s="3003"/>
      <c r="D38" s="3838"/>
      <c r="E38" s="994"/>
      <c r="F38" s="995"/>
    </row>
    <row r="39" spans="1:12" ht="25.5" customHeight="1">
      <c r="A39" s="990" t="s">
        <v>1696</v>
      </c>
      <c r="B39" s="985">
        <v>2320000</v>
      </c>
      <c r="C39" s="3838"/>
      <c r="D39" s="3838"/>
      <c r="E39" s="994"/>
      <c r="F39" s="995"/>
    </row>
    <row r="40" spans="1:12" ht="25.5" customHeight="1">
      <c r="A40" s="990" t="s">
        <v>1697</v>
      </c>
      <c r="B40" s="985">
        <v>2330000</v>
      </c>
      <c r="C40" s="3838"/>
      <c r="D40" s="3838"/>
      <c r="E40" s="994"/>
      <c r="F40" s="995"/>
    </row>
    <row r="41" spans="1:12" ht="25.5" customHeight="1">
      <c r="A41" s="990" t="s">
        <v>1698</v>
      </c>
      <c r="B41" s="985">
        <v>2340000</v>
      </c>
      <c r="C41" s="3838"/>
      <c r="D41" s="3838"/>
      <c r="E41" s="994"/>
      <c r="F41" s="995"/>
    </row>
    <row r="42" spans="1:12" ht="25.5" hidden="1" customHeight="1">
      <c r="A42" s="2046" t="s">
        <v>1699</v>
      </c>
      <c r="B42" s="2047">
        <v>2670105</v>
      </c>
      <c r="C42" s="3006"/>
      <c r="D42" s="3006"/>
      <c r="E42" s="994"/>
      <c r="F42" s="995"/>
    </row>
    <row r="43" spans="1:12" ht="25.5" hidden="1" customHeight="1">
      <c r="A43" s="2046" t="s">
        <v>1700</v>
      </c>
      <c r="B43" s="2047">
        <v>2670108</v>
      </c>
      <c r="C43" s="3006"/>
      <c r="D43" s="3006"/>
      <c r="E43" s="994"/>
      <c r="F43" s="995"/>
    </row>
    <row r="44" spans="1:12" ht="25.5" hidden="1" customHeight="1">
      <c r="A44" s="2046" t="s">
        <v>1701</v>
      </c>
      <c r="B44" s="2047">
        <v>2670205</v>
      </c>
      <c r="C44" s="3006"/>
      <c r="D44" s="3006"/>
      <c r="E44" s="994"/>
      <c r="F44" s="995"/>
    </row>
    <row r="45" spans="1:12" ht="25.5" hidden="1" customHeight="1">
      <c r="A45" s="2046" t="s">
        <v>1702</v>
      </c>
      <c r="B45" s="2047">
        <v>2670208</v>
      </c>
      <c r="C45" s="3006"/>
      <c r="D45" s="3006"/>
      <c r="E45" s="994"/>
      <c r="F45" s="995"/>
    </row>
    <row r="46" spans="1:12" ht="25.5" hidden="1" customHeight="1">
      <c r="A46" s="2046" t="s">
        <v>1703</v>
      </c>
      <c r="B46" s="2047">
        <v>2670605</v>
      </c>
      <c r="C46" s="3006"/>
      <c r="D46" s="3006"/>
      <c r="E46" s="994"/>
      <c r="F46" s="995"/>
    </row>
    <row r="47" spans="1:12" ht="25.5" hidden="1" customHeight="1">
      <c r="A47" s="2046" t="s">
        <v>1704</v>
      </c>
      <c r="B47" s="2047">
        <v>2670609</v>
      </c>
      <c r="C47" s="3006"/>
      <c r="D47" s="3006"/>
      <c r="E47" s="994"/>
      <c r="F47" s="995"/>
    </row>
    <row r="48" spans="1:12" ht="38.25">
      <c r="A48" s="991" t="s">
        <v>1705</v>
      </c>
      <c r="B48" s="985">
        <v>2800500</v>
      </c>
      <c r="C48" s="3838"/>
      <c r="D48" s="3955">
        <v>779523</v>
      </c>
      <c r="E48" s="994"/>
      <c r="F48" s="995">
        <v>780923</v>
      </c>
    </row>
    <row r="49" spans="1:12" ht="25.5" customHeight="1">
      <c r="A49" s="1256" t="s">
        <v>2088</v>
      </c>
      <c r="B49" s="985">
        <v>2800801</v>
      </c>
      <c r="C49" s="3838"/>
      <c r="D49" s="3003"/>
      <c r="E49" s="994"/>
      <c r="F49" s="995"/>
      <c r="L49" s="1929" t="str">
        <f>IF(F48+F49+F50&lt;&gt;'NOTA 1'!I12,"eroare"," ")</f>
        <v xml:space="preserve"> </v>
      </c>
    </row>
    <row r="50" spans="1:12" ht="25.5" customHeight="1">
      <c r="A50" s="1134" t="s">
        <v>1706</v>
      </c>
      <c r="B50" s="985">
        <v>2800809</v>
      </c>
      <c r="C50" s="3838"/>
      <c r="D50" s="3003"/>
      <c r="E50" s="994"/>
      <c r="F50" s="995"/>
      <c r="L50" s="2372"/>
    </row>
    <row r="51" spans="1:12" ht="25.5" customHeight="1">
      <c r="A51" s="991" t="s">
        <v>1707</v>
      </c>
      <c r="B51" s="985">
        <v>2810100</v>
      </c>
      <c r="C51" s="3838"/>
      <c r="D51" s="3838"/>
      <c r="E51" s="994"/>
      <c r="F51" s="995">
        <v>20959</v>
      </c>
      <c r="L51" s="1929" t="str">
        <f>IF(F51+F52&lt;&gt;'NOTA 1'!I15,"eroare"," ")</f>
        <v xml:space="preserve"> </v>
      </c>
    </row>
    <row r="52" spans="1:12" ht="25.5" customHeight="1">
      <c r="A52" s="1134" t="s">
        <v>1871</v>
      </c>
      <c r="B52" s="985">
        <v>2810208</v>
      </c>
      <c r="C52" s="3838"/>
      <c r="D52" s="3955">
        <v>13193</v>
      </c>
      <c r="E52" s="994"/>
      <c r="F52" s="995">
        <v>13193</v>
      </c>
    </row>
    <row r="53" spans="1:12" ht="25.5" customHeight="1">
      <c r="A53" s="1134" t="s">
        <v>1872</v>
      </c>
      <c r="B53" s="985">
        <v>2810301</v>
      </c>
      <c r="C53" s="3838"/>
      <c r="D53" s="3955">
        <v>95325</v>
      </c>
      <c r="E53" s="994"/>
      <c r="F53" s="995">
        <v>98607</v>
      </c>
      <c r="L53" s="1929" t="str">
        <f>IF(F53+F54+F55&lt;&gt;'NOTA 1'!I13,"eroare"," ")</f>
        <v xml:space="preserve"> </v>
      </c>
    </row>
    <row r="54" spans="1:12" ht="25.5" customHeight="1">
      <c r="A54" s="1134" t="s">
        <v>2013</v>
      </c>
      <c r="B54" s="985">
        <v>2810302</v>
      </c>
      <c r="C54" s="3838"/>
      <c r="D54" s="3955">
        <v>289132</v>
      </c>
      <c r="E54" s="994"/>
      <c r="F54" s="995">
        <v>289132</v>
      </c>
    </row>
    <row r="55" spans="1:12" ht="25.5" customHeight="1">
      <c r="A55" s="991" t="s">
        <v>2012</v>
      </c>
      <c r="B55" s="985">
        <v>2810303</v>
      </c>
      <c r="C55" s="3838"/>
      <c r="D55" s="3955">
        <v>114305</v>
      </c>
      <c r="E55" s="994"/>
      <c r="F55" s="995">
        <v>114305</v>
      </c>
    </row>
    <row r="56" spans="1:12" ht="38.25">
      <c r="A56" s="991" t="s">
        <v>1708</v>
      </c>
      <c r="B56" s="985">
        <v>2810400</v>
      </c>
      <c r="C56" s="3838"/>
      <c r="D56" s="3955">
        <v>52134</v>
      </c>
      <c r="E56" s="994"/>
      <c r="F56" s="995">
        <v>53623</v>
      </c>
      <c r="L56" s="1929" t="str">
        <f>IF(F56&lt;&gt;'NOTA 1'!I14,"eroare"," ")</f>
        <v xml:space="preserve"> </v>
      </c>
    </row>
    <row r="57" spans="1:12" ht="25.5" customHeight="1">
      <c r="A57" s="990" t="s">
        <v>1709</v>
      </c>
      <c r="B57" s="985">
        <v>2900400</v>
      </c>
      <c r="C57" s="3838"/>
      <c r="D57" s="3838">
        <v>0</v>
      </c>
      <c r="E57" s="994"/>
      <c r="F57" s="995">
        <v>0</v>
      </c>
    </row>
    <row r="58" spans="1:12" ht="25.5" customHeight="1">
      <c r="A58" s="990" t="s">
        <v>1710</v>
      </c>
      <c r="B58" s="985">
        <v>2900500</v>
      </c>
      <c r="C58" s="3838"/>
      <c r="D58" s="3838">
        <v>0</v>
      </c>
      <c r="E58" s="994"/>
      <c r="F58" s="995">
        <v>0</v>
      </c>
    </row>
    <row r="59" spans="1:12" ht="25.5" customHeight="1">
      <c r="A59" s="1464" t="s">
        <v>2089</v>
      </c>
      <c r="B59" s="985">
        <v>2900801</v>
      </c>
      <c r="C59" s="3838"/>
      <c r="D59" s="3838">
        <v>0</v>
      </c>
      <c r="E59" s="994"/>
      <c r="F59" s="995">
        <v>0</v>
      </c>
    </row>
    <row r="60" spans="1:12" ht="25.5" customHeight="1">
      <c r="A60" s="1465" t="s">
        <v>1711</v>
      </c>
      <c r="B60" s="985">
        <v>2900809</v>
      </c>
      <c r="C60" s="3838"/>
      <c r="D60" s="3838">
        <v>0</v>
      </c>
      <c r="E60" s="994"/>
      <c r="F60" s="995">
        <v>0</v>
      </c>
    </row>
    <row r="61" spans="1:12" ht="25.5" customHeight="1">
      <c r="A61" s="990" t="s">
        <v>1712</v>
      </c>
      <c r="B61" s="985">
        <v>2910100</v>
      </c>
      <c r="C61" s="3838"/>
      <c r="D61" s="3838">
        <v>0</v>
      </c>
      <c r="E61" s="994"/>
      <c r="F61" s="995">
        <v>0</v>
      </c>
    </row>
    <row r="62" spans="1:12" ht="25.5" customHeight="1">
      <c r="A62" s="1465" t="s">
        <v>1713</v>
      </c>
      <c r="B62" s="985">
        <v>2910200</v>
      </c>
      <c r="C62" s="3838"/>
      <c r="D62" s="3838">
        <v>0</v>
      </c>
      <c r="E62" s="994"/>
      <c r="F62" s="995">
        <v>0</v>
      </c>
    </row>
    <row r="63" spans="1:12" ht="25.5" customHeight="1">
      <c r="A63" s="1465" t="s">
        <v>1714</v>
      </c>
      <c r="B63" s="985">
        <v>2910300</v>
      </c>
      <c r="C63" s="3838"/>
      <c r="D63" s="3838">
        <v>0</v>
      </c>
      <c r="E63" s="994"/>
      <c r="F63" s="995">
        <v>0</v>
      </c>
    </row>
    <row r="64" spans="1:12" ht="51">
      <c r="A64" s="990" t="s">
        <v>1715</v>
      </c>
      <c r="B64" s="985">
        <v>2910400</v>
      </c>
      <c r="C64" s="3838"/>
      <c r="D64" s="3838">
        <v>0</v>
      </c>
      <c r="E64" s="994"/>
      <c r="F64" s="995">
        <v>0</v>
      </c>
    </row>
    <row r="65" spans="1:12" ht="25.5" customHeight="1">
      <c r="A65" s="990" t="s">
        <v>1716</v>
      </c>
      <c r="B65" s="985">
        <v>2930100</v>
      </c>
      <c r="C65" s="3838"/>
      <c r="D65" s="3838"/>
      <c r="E65" s="994"/>
      <c r="F65" s="995"/>
    </row>
    <row r="66" spans="1:12" ht="25.5" customHeight="1">
      <c r="A66" s="1465" t="s">
        <v>1717</v>
      </c>
      <c r="B66" s="985">
        <v>2930200</v>
      </c>
      <c r="C66" s="3838"/>
      <c r="D66" s="3838"/>
      <c r="E66" s="994"/>
      <c r="F66" s="995"/>
    </row>
    <row r="67" spans="1:12" ht="25.5" customHeight="1">
      <c r="A67" s="4461" t="s">
        <v>1662</v>
      </c>
      <c r="B67" s="4462"/>
      <c r="C67" s="3005">
        <f>SUM(C27:C66)</f>
        <v>3468665</v>
      </c>
      <c r="D67" s="3005">
        <f>SUM(D27:D66)</f>
        <v>1343612</v>
      </c>
      <c r="E67" s="1234">
        <f>SUM(E27:E66)</f>
        <v>3469913</v>
      </c>
      <c r="F67" s="1235">
        <f>SUM(F27:F66)</f>
        <v>1370742</v>
      </c>
      <c r="H67" s="717">
        <f>E67-F67</f>
        <v>2099171</v>
      </c>
      <c r="I67" s="2572">
        <f>IF(H67&gt;0,H67,0)</f>
        <v>2099171</v>
      </c>
      <c r="J67" s="2572">
        <f>F67-E67</f>
        <v>-2099171</v>
      </c>
      <c r="K67" s="2572">
        <f>IF(J67&gt;0,J67,0)</f>
        <v>0</v>
      </c>
    </row>
    <row r="68" spans="1:12" ht="25.5" customHeight="1">
      <c r="A68" s="991" t="s">
        <v>1718</v>
      </c>
      <c r="B68" s="985">
        <v>3020100</v>
      </c>
      <c r="C68" s="3838"/>
      <c r="D68" s="3838"/>
      <c r="E68" s="994"/>
      <c r="F68" s="995"/>
    </row>
    <row r="69" spans="1:12" ht="25.5" customHeight="1">
      <c r="A69" s="991" t="s">
        <v>1719</v>
      </c>
      <c r="B69" s="985">
        <v>3020200</v>
      </c>
      <c r="C69" s="3003"/>
      <c r="D69" s="3838"/>
      <c r="E69" s="994"/>
      <c r="F69" s="995"/>
    </row>
    <row r="70" spans="1:12" ht="25.5" customHeight="1">
      <c r="A70" s="991" t="s">
        <v>933</v>
      </c>
      <c r="B70" s="985">
        <v>3020400</v>
      </c>
      <c r="C70" s="3003"/>
      <c r="D70" s="3838"/>
      <c r="E70" s="994"/>
      <c r="F70" s="995"/>
    </row>
    <row r="71" spans="1:12" ht="25.5" customHeight="1">
      <c r="A71" s="991" t="s">
        <v>1720</v>
      </c>
      <c r="B71" s="985">
        <v>3020800</v>
      </c>
      <c r="C71" s="3954">
        <v>17836</v>
      </c>
      <c r="D71" s="3838"/>
      <c r="E71" s="994">
        <v>11599</v>
      </c>
      <c r="F71" s="995"/>
    </row>
    <row r="72" spans="1:12" ht="25.5" customHeight="1">
      <c r="A72" s="991" t="s">
        <v>1721</v>
      </c>
      <c r="B72" s="985">
        <v>3030100</v>
      </c>
      <c r="C72" s="3954"/>
      <c r="D72" s="3838"/>
      <c r="E72" s="994"/>
      <c r="F72" s="995"/>
    </row>
    <row r="73" spans="1:12" ht="25.5" customHeight="1">
      <c r="A73" s="991" t="s">
        <v>1722</v>
      </c>
      <c r="B73" s="985">
        <v>3030200</v>
      </c>
      <c r="C73" s="3954">
        <v>374427</v>
      </c>
      <c r="D73" s="3838"/>
      <c r="E73" s="994">
        <v>383644</v>
      </c>
      <c r="F73" s="995"/>
    </row>
    <row r="74" spans="1:12" ht="25.5" customHeight="1">
      <c r="A74" s="990" t="s">
        <v>1723</v>
      </c>
      <c r="B74" s="985">
        <v>3510100</v>
      </c>
      <c r="C74" s="3838"/>
      <c r="D74" s="3838"/>
      <c r="E74" s="994">
        <v>0</v>
      </c>
      <c r="F74" s="995"/>
    </row>
    <row r="75" spans="1:12" ht="25.5" customHeight="1">
      <c r="A75" s="990" t="s">
        <v>1724</v>
      </c>
      <c r="B75" s="985">
        <v>3510200</v>
      </c>
      <c r="C75" s="3003"/>
      <c r="D75" s="3838"/>
      <c r="E75" s="994"/>
      <c r="F75" s="995"/>
    </row>
    <row r="76" spans="1:12" ht="21.6" customHeight="1">
      <c r="A76" s="4463" t="s">
        <v>1663</v>
      </c>
      <c r="B76" s="4464"/>
      <c r="C76" s="3020">
        <f>SUM(C68:C75)</f>
        <v>392263</v>
      </c>
      <c r="D76" s="3842">
        <f>SUM(D68:D75)</f>
        <v>0</v>
      </c>
      <c r="E76" s="3021">
        <f>SUM(E68:E75)</f>
        <v>395243</v>
      </c>
      <c r="F76" s="3022">
        <f>SUM(F68:F75)</f>
        <v>0</v>
      </c>
      <c r="H76" s="717">
        <f>E76-F76</f>
        <v>395243</v>
      </c>
      <c r="I76" s="2572">
        <f>IF(H76&gt;0,H76,0)</f>
        <v>395243</v>
      </c>
      <c r="J76" s="2572">
        <f>F76-E76</f>
        <v>-395243</v>
      </c>
      <c r="K76" s="2572">
        <f>IF(J76&gt;0,J76,0)</f>
        <v>0</v>
      </c>
    </row>
    <row r="77" spans="1:12" ht="25.5" customHeight="1">
      <c r="A77" s="3019" t="s">
        <v>1725</v>
      </c>
      <c r="B77" s="3011">
        <v>4010100</v>
      </c>
      <c r="C77" s="3841"/>
      <c r="D77" s="3955">
        <v>63540773</v>
      </c>
      <c r="E77" s="3013"/>
      <c r="F77" s="3014">
        <v>29042756</v>
      </c>
      <c r="L77" s="1930"/>
    </row>
    <row r="78" spans="1:12" ht="25.5" customHeight="1">
      <c r="A78" s="997" t="s">
        <v>1726</v>
      </c>
      <c r="B78" s="985">
        <v>4040100</v>
      </c>
      <c r="C78" s="3838"/>
      <c r="D78" s="3003"/>
      <c r="E78" s="994"/>
      <c r="F78" s="995"/>
    </row>
    <row r="79" spans="1:12" ht="25.5" customHeight="1">
      <c r="A79" s="991" t="s">
        <v>1727</v>
      </c>
      <c r="B79" s="985">
        <v>4080000</v>
      </c>
      <c r="C79" s="3838"/>
      <c r="D79" s="3003"/>
      <c r="E79" s="994"/>
      <c r="F79" s="995"/>
    </row>
    <row r="80" spans="1:12" ht="25.5" customHeight="1">
      <c r="A80" s="991" t="s">
        <v>1728</v>
      </c>
      <c r="B80" s="985">
        <v>4090101</v>
      </c>
      <c r="C80" s="3838"/>
      <c r="D80" s="3838">
        <v>0</v>
      </c>
      <c r="E80" s="994"/>
      <c r="F80" s="995">
        <v>0</v>
      </c>
    </row>
    <row r="81" spans="1:12" ht="25.5" customHeight="1">
      <c r="A81" s="991" t="s">
        <v>1729</v>
      </c>
      <c r="B81" s="985">
        <v>4090102</v>
      </c>
      <c r="C81" s="3838"/>
      <c r="D81" s="3838">
        <v>0</v>
      </c>
      <c r="E81" s="994"/>
      <c r="F81" s="995">
        <v>0</v>
      </c>
    </row>
    <row r="82" spans="1:12" ht="25.5" customHeight="1">
      <c r="A82" s="991" t="s">
        <v>1730</v>
      </c>
      <c r="B82" s="985">
        <v>4110101</v>
      </c>
      <c r="C82" s="3954">
        <v>604</v>
      </c>
      <c r="D82" s="3838">
        <v>0</v>
      </c>
      <c r="E82" s="994">
        <v>731</v>
      </c>
      <c r="F82" s="995">
        <v>0</v>
      </c>
    </row>
    <row r="83" spans="1:12" ht="25.5" customHeight="1">
      <c r="A83" s="991" t="s">
        <v>1731</v>
      </c>
      <c r="B83" s="985">
        <v>4110201</v>
      </c>
      <c r="C83" s="3003"/>
      <c r="D83" s="3838">
        <v>0</v>
      </c>
      <c r="E83" s="994"/>
      <c r="F83" s="995">
        <v>0</v>
      </c>
    </row>
    <row r="84" spans="1:12" ht="25.5" customHeight="1">
      <c r="A84" s="991" t="s">
        <v>1732</v>
      </c>
      <c r="B84" s="985">
        <v>4190000</v>
      </c>
      <c r="C84" s="3838">
        <v>0</v>
      </c>
      <c r="D84" s="3838"/>
      <c r="E84" s="994"/>
      <c r="F84" s="995"/>
    </row>
    <row r="85" spans="1:12" ht="25.5" customHeight="1">
      <c r="A85" s="991" t="s">
        <v>1733</v>
      </c>
      <c r="B85" s="985">
        <v>4210000</v>
      </c>
      <c r="C85" s="3838"/>
      <c r="D85" s="3955">
        <v>218222</v>
      </c>
      <c r="E85" s="994"/>
      <c r="F85" s="995">
        <v>226426</v>
      </c>
    </row>
    <row r="86" spans="1:12" ht="25.5" customHeight="1">
      <c r="A86" s="991" t="s">
        <v>1734</v>
      </c>
      <c r="B86" s="985">
        <v>4230000</v>
      </c>
      <c r="C86" s="3838"/>
      <c r="D86" s="3003"/>
      <c r="E86" s="994"/>
      <c r="F86" s="995"/>
    </row>
    <row r="87" spans="1:12" ht="25.5" customHeight="1">
      <c r="A87" s="991" t="s">
        <v>1735</v>
      </c>
      <c r="B87" s="985">
        <v>4250000</v>
      </c>
      <c r="C87" s="3954">
        <v>16300</v>
      </c>
      <c r="D87" s="3838"/>
      <c r="E87" s="994">
        <v>2300</v>
      </c>
      <c r="F87" s="995"/>
    </row>
    <row r="88" spans="1:12" ht="25.5" customHeight="1">
      <c r="A88" s="991" t="s">
        <v>1736</v>
      </c>
      <c r="B88" s="985">
        <v>4260000</v>
      </c>
      <c r="C88" s="3838"/>
      <c r="D88" s="3003"/>
      <c r="E88" s="994"/>
      <c r="F88" s="995"/>
    </row>
    <row r="89" spans="1:12" ht="25.5" customHeight="1">
      <c r="A89" s="991" t="s">
        <v>1737</v>
      </c>
      <c r="B89" s="985">
        <v>4270100</v>
      </c>
      <c r="C89" s="3838"/>
      <c r="D89" s="3955">
        <v>11244</v>
      </c>
      <c r="E89" s="994"/>
      <c r="F89" s="995">
        <v>11317</v>
      </c>
    </row>
    <row r="90" spans="1:12" ht="25.5" customHeight="1">
      <c r="A90" s="991" t="s">
        <v>1785</v>
      </c>
      <c r="B90" s="985">
        <v>4280101</v>
      </c>
      <c r="C90" s="3838"/>
      <c r="D90" s="3955">
        <v>10901</v>
      </c>
      <c r="E90" s="994"/>
      <c r="F90" s="995">
        <v>12381</v>
      </c>
    </row>
    <row r="91" spans="1:12" ht="25.5" customHeight="1">
      <c r="A91" s="991" t="s">
        <v>1786</v>
      </c>
      <c r="B91" s="985">
        <v>4280102</v>
      </c>
      <c r="C91" s="3003"/>
      <c r="D91" s="3003"/>
      <c r="E91" s="994"/>
      <c r="F91" s="995"/>
    </row>
    <row r="92" spans="1:12" ht="25.5" customHeight="1">
      <c r="A92" s="991" t="s">
        <v>1787</v>
      </c>
      <c r="B92" s="985">
        <v>4280201</v>
      </c>
      <c r="C92" s="3838"/>
      <c r="D92" s="3003"/>
      <c r="E92" s="994"/>
      <c r="F92" s="995"/>
    </row>
    <row r="93" spans="1:12" ht="25.5" customHeight="1">
      <c r="A93" s="991" t="s">
        <v>1788</v>
      </c>
      <c r="B93" s="985">
        <v>4280202</v>
      </c>
      <c r="C93" s="3003"/>
      <c r="D93" s="3838">
        <v>0</v>
      </c>
      <c r="E93" s="994"/>
      <c r="F93" s="995">
        <v>0</v>
      </c>
    </row>
    <row r="94" spans="1:12" ht="25.5" customHeight="1">
      <c r="A94" s="991" t="s">
        <v>1738</v>
      </c>
      <c r="B94" s="985">
        <v>4310100</v>
      </c>
      <c r="C94" s="3838"/>
      <c r="D94" s="3838"/>
      <c r="E94" s="994"/>
      <c r="F94" s="995"/>
      <c r="L94" s="1929" t="str">
        <f t="shared" ref="L94:L99" si="0">IF(F94&lt;0,"eroare"," ")</f>
        <v xml:space="preserve"> </v>
      </c>
    </row>
    <row r="95" spans="1:12" ht="25.5" customHeight="1">
      <c r="A95" s="991" t="s">
        <v>1739</v>
      </c>
      <c r="B95" s="985">
        <v>4310200</v>
      </c>
      <c r="C95" s="3838"/>
      <c r="D95" s="3955">
        <v>96392</v>
      </c>
      <c r="E95" s="994"/>
      <c r="F95" s="995">
        <v>98804</v>
      </c>
      <c r="L95" s="1929" t="str">
        <f t="shared" si="0"/>
        <v xml:space="preserve"> </v>
      </c>
    </row>
    <row r="96" spans="1:12" ht="25.5" customHeight="1">
      <c r="A96" s="991" t="s">
        <v>1740</v>
      </c>
      <c r="B96" s="985">
        <v>4310300</v>
      </c>
      <c r="C96" s="3838"/>
      <c r="D96" s="3838"/>
      <c r="E96" s="994"/>
      <c r="F96" s="995"/>
      <c r="L96" s="1929" t="str">
        <f t="shared" si="0"/>
        <v xml:space="preserve"> </v>
      </c>
    </row>
    <row r="97" spans="1:12" ht="25.5" customHeight="1">
      <c r="A97" s="991" t="s">
        <v>1741</v>
      </c>
      <c r="B97" s="985">
        <v>4310400</v>
      </c>
      <c r="C97" s="3838"/>
      <c r="D97" s="3955">
        <v>37852</v>
      </c>
      <c r="E97" s="994"/>
      <c r="F97" s="995">
        <v>39393</v>
      </c>
      <c r="L97" s="1929" t="str">
        <f t="shared" si="0"/>
        <v xml:space="preserve"> </v>
      </c>
    </row>
    <row r="98" spans="1:12" ht="25.5" customHeight="1">
      <c r="A98" s="991" t="s">
        <v>1742</v>
      </c>
      <c r="B98" s="985">
        <v>4310500</v>
      </c>
      <c r="C98" s="3838"/>
      <c r="D98" s="3838"/>
      <c r="E98" s="994"/>
      <c r="F98" s="995"/>
      <c r="L98" s="1929" t="str">
        <f t="shared" si="0"/>
        <v xml:space="preserve"> </v>
      </c>
    </row>
    <row r="99" spans="1:12" ht="25.5" customHeight="1">
      <c r="A99" s="1134" t="s">
        <v>1856</v>
      </c>
      <c r="B99" s="985">
        <v>4310600</v>
      </c>
      <c r="C99" s="3838"/>
      <c r="D99" s="3955">
        <v>8675</v>
      </c>
      <c r="E99" s="994"/>
      <c r="F99" s="995">
        <v>8892</v>
      </c>
      <c r="L99" s="1929" t="str">
        <f t="shared" si="0"/>
        <v xml:space="preserve"> </v>
      </c>
    </row>
    <row r="100" spans="1:12" ht="25.5" customHeight="1">
      <c r="A100" s="991" t="s">
        <v>1743</v>
      </c>
      <c r="B100" s="985">
        <v>4310700</v>
      </c>
      <c r="C100" s="3838"/>
      <c r="D100" s="3838"/>
      <c r="E100" s="994"/>
      <c r="F100" s="995"/>
      <c r="L100" s="1929" t="str">
        <f>IF(F100&lt;0,"eroare"," ")</f>
        <v xml:space="preserve"> </v>
      </c>
    </row>
    <row r="101" spans="1:12" ht="25.5" customHeight="1">
      <c r="A101" s="991" t="s">
        <v>1744</v>
      </c>
      <c r="B101" s="985">
        <v>4370100</v>
      </c>
      <c r="C101" s="3838"/>
      <c r="D101" s="3838"/>
      <c r="E101" s="994"/>
      <c r="F101" s="995"/>
      <c r="L101" s="1929" t="str">
        <f t="shared" ref="L101:L105" si="1">IF(F101&lt;0,"eroare"," ")</f>
        <v xml:space="preserve"> </v>
      </c>
    </row>
    <row r="102" spans="1:12" ht="25.5" customHeight="1">
      <c r="A102" s="991" t="s">
        <v>1745</v>
      </c>
      <c r="B102" s="985">
        <v>4370200</v>
      </c>
      <c r="C102" s="3838"/>
      <c r="D102" s="3838"/>
      <c r="E102" s="994"/>
      <c r="F102" s="995"/>
      <c r="L102" s="1929" t="str">
        <f t="shared" si="1"/>
        <v xml:space="preserve"> </v>
      </c>
    </row>
    <row r="103" spans="1:12" ht="25.5" customHeight="1">
      <c r="A103" s="991" t="s">
        <v>1746</v>
      </c>
      <c r="B103" s="985">
        <v>4440000</v>
      </c>
      <c r="C103" s="3838"/>
      <c r="D103" s="3955">
        <v>15983</v>
      </c>
      <c r="E103" s="994"/>
      <c r="F103" s="995">
        <v>15753</v>
      </c>
      <c r="L103" s="1929" t="str">
        <f t="shared" si="1"/>
        <v xml:space="preserve"> </v>
      </c>
    </row>
    <row r="104" spans="1:12" ht="25.5" customHeight="1">
      <c r="A104" s="991" t="s">
        <v>1747</v>
      </c>
      <c r="B104" s="987">
        <v>4460100</v>
      </c>
      <c r="C104" s="3843"/>
      <c r="D104" s="3007"/>
      <c r="E104" s="2050"/>
      <c r="F104" s="995"/>
      <c r="L104" s="1929" t="str">
        <f t="shared" si="1"/>
        <v xml:space="preserve"> </v>
      </c>
    </row>
    <row r="105" spans="1:12" ht="25.5" customHeight="1">
      <c r="A105" s="1134" t="s">
        <v>1748</v>
      </c>
      <c r="B105" s="985">
        <v>4480100</v>
      </c>
      <c r="C105" s="3838">
        <v>0</v>
      </c>
      <c r="D105" s="3003"/>
      <c r="E105" s="994">
        <v>0</v>
      </c>
      <c r="F105" s="995"/>
      <c r="L105" s="1929" t="str">
        <f t="shared" si="1"/>
        <v xml:space="preserve"> </v>
      </c>
    </row>
    <row r="106" spans="1:12" ht="25.5" customHeight="1">
      <c r="A106" s="991" t="s">
        <v>1749</v>
      </c>
      <c r="B106" s="985">
        <v>4480200</v>
      </c>
      <c r="C106" s="3838"/>
      <c r="D106" s="3838"/>
      <c r="E106" s="994"/>
      <c r="F106" s="995"/>
    </row>
    <row r="107" spans="1:12" ht="25.5" customHeight="1">
      <c r="A107" s="991" t="s">
        <v>1750</v>
      </c>
      <c r="B107" s="985">
        <v>4500503</v>
      </c>
      <c r="C107" s="3003"/>
      <c r="D107" s="3838">
        <v>0</v>
      </c>
      <c r="E107" s="994"/>
      <c r="F107" s="995">
        <v>0</v>
      </c>
    </row>
    <row r="108" spans="1:12" ht="25.5" customHeight="1">
      <c r="A108" s="1134" t="s">
        <v>1873</v>
      </c>
      <c r="B108" s="985">
        <v>4500600</v>
      </c>
      <c r="C108" s="3838">
        <v>0</v>
      </c>
      <c r="D108" s="3003"/>
      <c r="E108" s="994">
        <v>0</v>
      </c>
      <c r="F108" s="995"/>
    </row>
    <row r="109" spans="1:12" ht="25.5" customHeight="1">
      <c r="A109" s="991" t="s">
        <v>1751</v>
      </c>
      <c r="B109" s="985">
        <v>4580301</v>
      </c>
      <c r="C109" s="3003"/>
      <c r="D109" s="3838">
        <v>0</v>
      </c>
      <c r="E109" s="994"/>
      <c r="F109" s="995">
        <v>0</v>
      </c>
    </row>
    <row r="110" spans="1:12" ht="51">
      <c r="A110" s="991" t="s">
        <v>1805</v>
      </c>
      <c r="B110" s="985">
        <v>4580501</v>
      </c>
      <c r="C110" s="3838">
        <v>0</v>
      </c>
      <c r="D110" s="3838"/>
      <c r="E110" s="994">
        <v>0</v>
      </c>
      <c r="F110" s="995"/>
    </row>
    <row r="111" spans="1:12" ht="25.5" customHeight="1">
      <c r="A111" s="991" t="s">
        <v>1752</v>
      </c>
      <c r="B111" s="985">
        <v>4610101</v>
      </c>
      <c r="C111" s="3954">
        <v>610112</v>
      </c>
      <c r="D111" s="3838">
        <v>0</v>
      </c>
      <c r="E111" s="994">
        <v>679000</v>
      </c>
      <c r="F111" s="995"/>
    </row>
    <row r="112" spans="1:12" ht="25.5" customHeight="1">
      <c r="A112" s="3023" t="s">
        <v>2503</v>
      </c>
      <c r="B112" s="3016">
        <v>4610109</v>
      </c>
      <c r="C112" s="3954">
        <v>21349</v>
      </c>
      <c r="D112" s="3840"/>
      <c r="E112" s="3017">
        <v>3500</v>
      </c>
      <c r="F112" s="3018"/>
    </row>
    <row r="113" spans="1:13" ht="25.5" customHeight="1">
      <c r="A113" s="3019" t="s">
        <v>1753</v>
      </c>
      <c r="B113" s="3011">
        <v>4610201</v>
      </c>
      <c r="C113" s="3954">
        <v>517254</v>
      </c>
      <c r="D113" s="3841">
        <v>0</v>
      </c>
      <c r="E113" s="3013">
        <v>444095</v>
      </c>
      <c r="F113" s="3014"/>
    </row>
    <row r="114" spans="1:13" ht="25.5" customHeight="1">
      <c r="A114" s="3010" t="s">
        <v>2609</v>
      </c>
      <c r="B114" s="3011">
        <v>4610209</v>
      </c>
      <c r="C114" s="3841"/>
      <c r="D114" s="3841"/>
      <c r="E114" s="3013"/>
      <c r="F114" s="3014">
        <v>0</v>
      </c>
    </row>
    <row r="115" spans="1:13" ht="25.5" customHeight="1">
      <c r="A115" s="2044" t="s">
        <v>2477</v>
      </c>
      <c r="B115" s="985">
        <v>4620101</v>
      </c>
      <c r="C115" s="3838">
        <v>0</v>
      </c>
      <c r="D115" s="3955">
        <v>19902</v>
      </c>
      <c r="E115" s="994">
        <v>0</v>
      </c>
      <c r="F115" s="995">
        <v>1386839</v>
      </c>
    </row>
    <row r="116" spans="1:13" ht="25.5" customHeight="1">
      <c r="A116" s="2568" t="s">
        <v>2479</v>
      </c>
      <c r="B116" s="2569">
        <v>4620109</v>
      </c>
      <c r="C116" s="3838"/>
      <c r="D116" s="3955">
        <v>5904666</v>
      </c>
      <c r="E116" s="2570"/>
      <c r="F116" s="2571">
        <v>5482691</v>
      </c>
    </row>
    <row r="117" spans="1:13" ht="25.5" customHeight="1">
      <c r="A117" s="2044" t="s">
        <v>2478</v>
      </c>
      <c r="B117" s="985">
        <v>4620201</v>
      </c>
      <c r="C117" s="3838">
        <v>0</v>
      </c>
      <c r="D117" s="3003"/>
      <c r="E117" s="994">
        <v>0</v>
      </c>
      <c r="F117" s="995"/>
    </row>
    <row r="118" spans="1:13" ht="25.5" customHeight="1">
      <c r="A118" s="2568" t="s">
        <v>2480</v>
      </c>
      <c r="B118" s="2569">
        <v>4620209</v>
      </c>
      <c r="C118" s="3838"/>
      <c r="D118" s="3003"/>
      <c r="E118" s="2570"/>
      <c r="F118" s="2571"/>
    </row>
    <row r="119" spans="1:13" ht="25.5" customHeight="1">
      <c r="A119" s="991" t="s">
        <v>1754</v>
      </c>
      <c r="B119" s="985">
        <v>4660500</v>
      </c>
      <c r="C119" s="3954">
        <v>54536444</v>
      </c>
      <c r="D119" s="3838"/>
      <c r="E119" s="994">
        <v>57003952</v>
      </c>
      <c r="F119" s="995"/>
      <c r="L119" s="2372"/>
    </row>
    <row r="120" spans="1:13" ht="25.5" customHeight="1">
      <c r="A120" s="991" t="s">
        <v>1755</v>
      </c>
      <c r="B120" s="985">
        <v>4670500</v>
      </c>
      <c r="C120" s="3838"/>
      <c r="D120" s="3003"/>
      <c r="E120" s="994"/>
      <c r="F120" s="995"/>
    </row>
    <row r="121" spans="1:13" ht="25.5" customHeight="1">
      <c r="A121" s="1134" t="s">
        <v>2196</v>
      </c>
      <c r="B121" s="985">
        <v>4680109</v>
      </c>
      <c r="C121" s="3838"/>
      <c r="D121" s="3838">
        <v>0</v>
      </c>
      <c r="E121" s="994"/>
      <c r="F121" s="995">
        <v>0</v>
      </c>
    </row>
    <row r="122" spans="1:13" ht="25.5" customHeight="1">
      <c r="A122" s="991" t="s">
        <v>1756</v>
      </c>
      <c r="B122" s="985">
        <v>4710000</v>
      </c>
      <c r="C122" s="3954">
        <v>635</v>
      </c>
      <c r="D122" s="3838">
        <v>0</v>
      </c>
      <c r="E122" s="994">
        <v>318</v>
      </c>
      <c r="F122" s="995">
        <v>0</v>
      </c>
    </row>
    <row r="123" spans="1:13" ht="25.5" customHeight="1">
      <c r="A123" s="991" t="s">
        <v>1757</v>
      </c>
      <c r="B123" s="985">
        <v>4720000</v>
      </c>
      <c r="C123" s="3838">
        <v>0</v>
      </c>
      <c r="D123" s="3955">
        <v>886</v>
      </c>
      <c r="E123" s="994">
        <v>0</v>
      </c>
      <c r="F123" s="995">
        <v>2969</v>
      </c>
    </row>
    <row r="124" spans="1:13" ht="25.5" customHeight="1">
      <c r="A124" s="991" t="s">
        <v>1758</v>
      </c>
      <c r="B124" s="985">
        <v>4730103</v>
      </c>
      <c r="C124" s="3003"/>
      <c r="D124" s="3003"/>
      <c r="E124" s="994"/>
      <c r="F124" s="1257"/>
    </row>
    <row r="125" spans="1:13" ht="25.5" customHeight="1">
      <c r="A125" s="991" t="s">
        <v>1759</v>
      </c>
      <c r="B125" s="985">
        <v>4730109</v>
      </c>
      <c r="C125" s="3003"/>
      <c r="D125" s="3955">
        <v>272433</v>
      </c>
      <c r="E125" s="994">
        <v>402362</v>
      </c>
      <c r="F125" s="995"/>
      <c r="L125" s="2803" t="str">
        <f>IF(AND(E125&gt;0,F125&gt;0),"EROARE"," OK")</f>
        <v xml:space="preserve"> OK</v>
      </c>
    </row>
    <row r="126" spans="1:13" ht="25.5" customHeight="1">
      <c r="A126" s="991" t="s">
        <v>2119</v>
      </c>
      <c r="B126" s="985">
        <v>4810101</v>
      </c>
      <c r="C126" s="3838"/>
      <c r="D126" s="3838"/>
      <c r="E126" s="994"/>
      <c r="F126" s="995"/>
    </row>
    <row r="127" spans="1:13" ht="25.5" customHeight="1">
      <c r="A127" s="991" t="s">
        <v>1760</v>
      </c>
      <c r="B127" s="985">
        <v>4810900</v>
      </c>
      <c r="C127" s="3003"/>
      <c r="D127" s="3955">
        <v>191048312</v>
      </c>
      <c r="E127" s="1269"/>
      <c r="F127" s="1505"/>
      <c r="L127" s="2973" t="str">
        <f>IF(E127&lt;&gt;'ANEXA 6'!J37,"eroare"," ")</f>
        <v xml:space="preserve"> </v>
      </c>
      <c r="M127" s="2973" t="str">
        <f>IF(F127&lt;&gt;'ANEXA 6'!J38,"eroare"," ")</f>
        <v>eroare</v>
      </c>
    </row>
    <row r="128" spans="1:13" ht="25.5" customHeight="1">
      <c r="A128" s="1134" t="s">
        <v>2039</v>
      </c>
      <c r="B128" s="985">
        <v>4960100</v>
      </c>
      <c r="C128" s="3838"/>
      <c r="D128" s="3838"/>
      <c r="E128" s="994"/>
      <c r="F128" s="995"/>
    </row>
    <row r="129" spans="1:12" ht="25.5" customHeight="1">
      <c r="A129" s="991" t="s">
        <v>2038</v>
      </c>
      <c r="B129" s="985">
        <v>4960200</v>
      </c>
      <c r="C129" s="3838"/>
      <c r="D129" s="3838"/>
      <c r="E129" s="994"/>
      <c r="F129" s="995"/>
    </row>
    <row r="130" spans="1:12" ht="25.5" customHeight="1">
      <c r="A130" s="991" t="s">
        <v>1761</v>
      </c>
      <c r="B130" s="985">
        <v>4970000</v>
      </c>
      <c r="C130" s="3838"/>
      <c r="D130" s="3003"/>
      <c r="E130" s="994"/>
      <c r="F130" s="995"/>
    </row>
    <row r="131" spans="1:12" ht="25.5" customHeight="1">
      <c r="A131" s="4461" t="s">
        <v>1664</v>
      </c>
      <c r="B131" s="4462"/>
      <c r="C131" s="3005">
        <f>SUM(C77:C130)</f>
        <v>55702698</v>
      </c>
      <c r="D131" s="3005">
        <f>SUM(D77:D130)</f>
        <v>261186241</v>
      </c>
      <c r="E131" s="1234">
        <f>SUM(E77:E130)</f>
        <v>58536258</v>
      </c>
      <c r="F131" s="1235">
        <f>SUM(F77:F130)</f>
        <v>36328221</v>
      </c>
      <c r="H131" s="717">
        <f>E131-F131</f>
        <v>22208037</v>
      </c>
      <c r="I131" s="2572">
        <f>IF(H131&gt;0,H131,0)</f>
        <v>22208037</v>
      </c>
      <c r="J131" s="2572">
        <f>F131-E131</f>
        <v>-22208037</v>
      </c>
      <c r="K131" s="2572">
        <f>IF(J131&gt;0,J131,0)</f>
        <v>0</v>
      </c>
    </row>
    <row r="132" spans="1:12" ht="25.5" customHeight="1">
      <c r="A132" s="991" t="s">
        <v>1762</v>
      </c>
      <c r="B132" s="985">
        <v>5120101</v>
      </c>
      <c r="C132" s="3838"/>
      <c r="D132" s="3838"/>
      <c r="E132" s="994"/>
      <c r="F132" s="995"/>
    </row>
    <row r="133" spans="1:12" ht="25.5" customHeight="1">
      <c r="A133" s="991" t="s">
        <v>1763</v>
      </c>
      <c r="B133" s="985">
        <v>5120102</v>
      </c>
      <c r="C133" s="3838"/>
      <c r="D133" s="3838"/>
      <c r="E133" s="994"/>
      <c r="F133" s="995"/>
      <c r="L133" s="1929" t="str">
        <f>IF(E133+E134+E136&lt;&gt;'COD 04'!E27,"eroare"," ")</f>
        <v xml:space="preserve"> </v>
      </c>
    </row>
    <row r="134" spans="1:12" ht="25.5" customHeight="1">
      <c r="A134" s="991" t="s">
        <v>1764</v>
      </c>
      <c r="B134" s="985">
        <v>5120402</v>
      </c>
      <c r="C134" s="3838"/>
      <c r="D134" s="3838"/>
      <c r="E134" s="994"/>
      <c r="F134" s="995"/>
    </row>
    <row r="135" spans="1:12" ht="25.5" customHeight="1">
      <c r="A135" s="1256" t="s">
        <v>2055</v>
      </c>
      <c r="B135" s="986">
        <v>5120501</v>
      </c>
      <c r="C135" s="3839"/>
      <c r="D135" s="3839"/>
      <c r="E135" s="2051">
        <v>0</v>
      </c>
      <c r="F135" s="1257"/>
    </row>
    <row r="136" spans="1:12" ht="25.5" customHeight="1">
      <c r="A136" s="1671" t="s">
        <v>2171</v>
      </c>
      <c r="B136" s="1672">
        <v>5120502</v>
      </c>
      <c r="C136" s="3844"/>
      <c r="D136" s="3844"/>
      <c r="E136" s="2051"/>
      <c r="F136" s="1257"/>
    </row>
    <row r="137" spans="1:12" ht="25.5" customHeight="1">
      <c r="A137" s="1134" t="s">
        <v>1874</v>
      </c>
      <c r="B137" s="985">
        <v>5150102</v>
      </c>
      <c r="C137" s="3838">
        <v>0</v>
      </c>
      <c r="D137" s="3838"/>
      <c r="E137" s="994">
        <v>0</v>
      </c>
      <c r="F137" s="995"/>
    </row>
    <row r="138" spans="1:12" ht="51">
      <c r="A138" s="1134" t="s">
        <v>1804</v>
      </c>
      <c r="B138" s="985">
        <v>5150103</v>
      </c>
      <c r="C138" s="3838">
        <v>0</v>
      </c>
      <c r="D138" s="3838"/>
      <c r="E138" s="994">
        <v>0</v>
      </c>
      <c r="F138" s="995"/>
      <c r="L138" s="1932"/>
    </row>
    <row r="139" spans="1:12" ht="25.5">
      <c r="A139" s="1134" t="s">
        <v>1875</v>
      </c>
      <c r="B139" s="985">
        <v>5150202</v>
      </c>
      <c r="C139" s="3838">
        <v>0</v>
      </c>
      <c r="D139" s="3838"/>
      <c r="E139" s="994">
        <v>0</v>
      </c>
      <c r="F139" s="995"/>
    </row>
    <row r="140" spans="1:12" ht="25.5">
      <c r="A140" s="991" t="s">
        <v>1821</v>
      </c>
      <c r="B140" s="985">
        <v>5150500</v>
      </c>
      <c r="C140" s="3003"/>
      <c r="D140" s="3838"/>
      <c r="E140" s="994"/>
      <c r="F140" s="995"/>
      <c r="L140" s="1929" t="str">
        <f>IF(E140&lt;&gt;'ANEXA 3'!P27,"eroare"," ")</f>
        <v xml:space="preserve"> </v>
      </c>
    </row>
    <row r="141" spans="1:12" ht="25.5" customHeight="1">
      <c r="A141" s="991" t="s">
        <v>1765</v>
      </c>
      <c r="B141" s="985">
        <v>5180702</v>
      </c>
      <c r="C141" s="3838">
        <v>0</v>
      </c>
      <c r="D141" s="3838"/>
      <c r="E141" s="2050">
        <v>0</v>
      </c>
      <c r="F141" s="996"/>
    </row>
    <row r="142" spans="1:12" ht="25.5" customHeight="1">
      <c r="A142" s="2798" t="s">
        <v>2497</v>
      </c>
      <c r="B142" s="2799">
        <v>5190190</v>
      </c>
      <c r="C142" s="3838"/>
      <c r="D142" s="3838"/>
      <c r="E142" s="2800">
        <v>0</v>
      </c>
      <c r="F142" s="2801"/>
    </row>
    <row r="143" spans="1:12" ht="25.5" customHeight="1">
      <c r="A143" s="991" t="s">
        <v>1766</v>
      </c>
      <c r="B143" s="985">
        <v>5270000</v>
      </c>
      <c r="C143" s="3838"/>
      <c r="D143" s="3838"/>
      <c r="E143" s="994">
        <v>0</v>
      </c>
      <c r="F143" s="995"/>
      <c r="L143" s="1929" t="str">
        <f>IF(E143&lt;&gt;DISPONIBILITATI!D25,"eroare"," ")</f>
        <v xml:space="preserve"> </v>
      </c>
    </row>
    <row r="144" spans="1:12" ht="25.5" customHeight="1">
      <c r="A144" s="991" t="s">
        <v>1767</v>
      </c>
      <c r="B144" s="985">
        <v>5280000</v>
      </c>
      <c r="C144" s="3838">
        <v>0</v>
      </c>
      <c r="D144" s="3838"/>
      <c r="E144" s="994">
        <v>0</v>
      </c>
      <c r="F144" s="995"/>
    </row>
    <row r="145" spans="1:12" ht="25.5" customHeight="1">
      <c r="A145" s="991" t="s">
        <v>1768</v>
      </c>
      <c r="B145" s="985">
        <v>5310101</v>
      </c>
      <c r="C145" s="3838"/>
      <c r="D145" s="3838"/>
      <c r="E145" s="994">
        <v>2424</v>
      </c>
      <c r="F145" s="995"/>
      <c r="L145" s="1929" t="str">
        <f>IF(E145&lt;&gt;DISPONIBILITATI!C25,"eroare"," ")</f>
        <v xml:space="preserve"> </v>
      </c>
    </row>
    <row r="146" spans="1:12" ht="25.5" customHeight="1">
      <c r="A146" s="3015" t="s">
        <v>1769</v>
      </c>
      <c r="B146" s="3016">
        <v>5310402</v>
      </c>
      <c r="C146" s="3840">
        <v>0</v>
      </c>
      <c r="D146" s="3840"/>
      <c r="E146" s="3017">
        <v>0</v>
      </c>
      <c r="F146" s="3018"/>
    </row>
    <row r="147" spans="1:12" ht="25.5" customHeight="1">
      <c r="A147" s="3019" t="s">
        <v>1770</v>
      </c>
      <c r="B147" s="3011">
        <v>5320100</v>
      </c>
      <c r="C147" s="3012"/>
      <c r="D147" s="3841"/>
      <c r="E147" s="3013"/>
      <c r="F147" s="3014"/>
    </row>
    <row r="148" spans="1:12" ht="25.5" customHeight="1">
      <c r="A148" s="991" t="s">
        <v>1771</v>
      </c>
      <c r="B148" s="985">
        <v>5320400</v>
      </c>
      <c r="C148" s="3954">
        <v>10250</v>
      </c>
      <c r="D148" s="3838"/>
      <c r="E148" s="994">
        <v>4300</v>
      </c>
      <c r="F148" s="995"/>
    </row>
    <row r="149" spans="1:12" ht="25.5" customHeight="1">
      <c r="A149" s="991" t="s">
        <v>1772</v>
      </c>
      <c r="B149" s="985">
        <v>5320500</v>
      </c>
      <c r="C149" s="3838">
        <v>0</v>
      </c>
      <c r="D149" s="3838"/>
      <c r="E149" s="994">
        <v>0</v>
      </c>
      <c r="F149" s="995"/>
    </row>
    <row r="150" spans="1:12" ht="25.5" customHeight="1">
      <c r="A150" s="991" t="s">
        <v>1773</v>
      </c>
      <c r="B150" s="985">
        <v>5320600</v>
      </c>
      <c r="C150" s="3838">
        <v>0</v>
      </c>
      <c r="D150" s="3838"/>
      <c r="E150" s="994">
        <v>0</v>
      </c>
      <c r="F150" s="995"/>
    </row>
    <row r="151" spans="1:12" ht="25.5" customHeight="1">
      <c r="A151" s="991" t="s">
        <v>1774</v>
      </c>
      <c r="B151" s="985">
        <v>5320800</v>
      </c>
      <c r="C151" s="3003">
        <v>25</v>
      </c>
      <c r="D151" s="3003"/>
      <c r="E151" s="994">
        <v>25</v>
      </c>
      <c r="F151" s="995"/>
    </row>
    <row r="152" spans="1:12" ht="25.5" customHeight="1">
      <c r="A152" s="991" t="s">
        <v>1775</v>
      </c>
      <c r="B152" s="985">
        <v>5420100</v>
      </c>
      <c r="C152" s="3838"/>
      <c r="D152" s="3838"/>
      <c r="E152" s="994"/>
      <c r="F152" s="995"/>
    </row>
    <row r="153" spans="1:12" ht="25.5" customHeight="1">
      <c r="A153" s="991" t="s">
        <v>1776</v>
      </c>
      <c r="B153" s="985">
        <v>5500101</v>
      </c>
      <c r="C153" s="3003"/>
      <c r="D153" s="3838"/>
      <c r="E153" s="994"/>
      <c r="F153" s="995"/>
      <c r="L153" s="1929" t="str">
        <f>IF(E153&lt;&gt;DISPONIBILITATI!E25+DISPONIBILITATI!H25,"eroare"," ")</f>
        <v xml:space="preserve"> </v>
      </c>
    </row>
    <row r="154" spans="1:12" ht="25.5" customHeight="1">
      <c r="A154" s="991" t="s">
        <v>1777</v>
      </c>
      <c r="B154" s="985">
        <v>5500102</v>
      </c>
      <c r="C154" s="3954">
        <v>10531</v>
      </c>
      <c r="D154" s="3838"/>
      <c r="E154" s="994">
        <v>12381</v>
      </c>
      <c r="F154" s="995"/>
      <c r="L154" s="1929" t="str">
        <f>IF(E154&lt;&gt;'COD 04'!F27,"eroare"," ")</f>
        <v xml:space="preserve"> </v>
      </c>
    </row>
    <row r="155" spans="1:12" ht="25.5" customHeight="1">
      <c r="A155" s="991" t="s">
        <v>1778</v>
      </c>
      <c r="B155" s="985">
        <v>5520000</v>
      </c>
      <c r="C155" s="3954">
        <v>18581</v>
      </c>
      <c r="D155" s="3838"/>
      <c r="E155" s="994">
        <v>16247</v>
      </c>
      <c r="F155" s="995"/>
      <c r="L155" s="1929" t="str">
        <f>IF(E155&lt;&gt;DISPONIBILITATI!F25,"eroare"," ")</f>
        <v xml:space="preserve"> </v>
      </c>
    </row>
    <row r="156" spans="1:12" ht="25.5" customHeight="1">
      <c r="A156" s="991" t="s">
        <v>1779</v>
      </c>
      <c r="B156" s="985">
        <v>5710100</v>
      </c>
      <c r="C156" s="3838"/>
      <c r="D156" s="3838"/>
      <c r="E156" s="994">
        <v>128174630</v>
      </c>
      <c r="F156" s="995"/>
      <c r="L156" s="1931" t="str">
        <f>IF(E156&lt;&gt;'ANEXA 3'!I11,"eroare"," ")</f>
        <v xml:space="preserve"> </v>
      </c>
    </row>
    <row r="157" spans="1:12" ht="25.5" customHeight="1">
      <c r="A157" s="991" t="s">
        <v>1780</v>
      </c>
      <c r="B157" s="985">
        <v>5710300</v>
      </c>
      <c r="C157" s="3838"/>
      <c r="D157" s="3838"/>
      <c r="E157" s="994"/>
      <c r="F157" s="995"/>
      <c r="L157" s="1929" t="str">
        <f>IF(E157&lt;&gt;DISPONIBILITATI!G25,"eroare"," ")</f>
        <v xml:space="preserve"> </v>
      </c>
    </row>
    <row r="158" spans="1:12" ht="25.5" customHeight="1">
      <c r="A158" s="2044" t="s">
        <v>2387</v>
      </c>
      <c r="B158" s="985">
        <v>5710400</v>
      </c>
      <c r="C158" s="3838"/>
      <c r="D158" s="3838"/>
      <c r="E158" s="994"/>
      <c r="F158" s="995"/>
    </row>
    <row r="159" spans="1:12" ht="25.5" customHeight="1">
      <c r="A159" s="4461" t="s">
        <v>1665</v>
      </c>
      <c r="B159" s="4462"/>
      <c r="C159" s="3005">
        <f>SUM(C132:C158)</f>
        <v>39387</v>
      </c>
      <c r="D159" s="3005">
        <f>SUM(D132:D158)</f>
        <v>0</v>
      </c>
      <c r="E159" s="1234">
        <f>SUM(E132:E158)</f>
        <v>128210007</v>
      </c>
      <c r="F159" s="1235">
        <f>SUM(F132:F158)</f>
        <v>0</v>
      </c>
      <c r="H159" s="717">
        <f>E159-F159</f>
        <v>128210007</v>
      </c>
      <c r="I159" s="2572">
        <f>IF(H159&gt;0,H159,0)</f>
        <v>128210007</v>
      </c>
      <c r="J159" s="2572">
        <f>F159-E159</f>
        <v>-128210007</v>
      </c>
      <c r="K159" s="2572">
        <f>IF(J159&gt;0,J159,0)</f>
        <v>0</v>
      </c>
    </row>
    <row r="160" spans="1:12" ht="25.5" customHeight="1">
      <c r="A160" s="991" t="s">
        <v>1781</v>
      </c>
      <c r="B160" s="985">
        <v>7700000</v>
      </c>
      <c r="C160" s="3838"/>
      <c r="D160" s="3838"/>
      <c r="E160" s="994"/>
      <c r="F160" s="995">
        <v>239735155</v>
      </c>
      <c r="L160" s="1931" t="str">
        <f>IF(F160+'VENITURI '!D9&lt;&gt;PLATI!E9+'CONT EXECUTIE   (2)'!K8,"eroare"," ")</f>
        <v xml:space="preserve"> </v>
      </c>
    </row>
    <row r="161" spans="1:11" customFormat="1" ht="37.15" customHeight="1">
      <c r="A161" s="4466" t="s">
        <v>1666</v>
      </c>
      <c r="B161" s="4467"/>
      <c r="C161" s="3008"/>
      <c r="D161" s="3008"/>
      <c r="E161" s="2052">
        <f>SUM(E160:E160)</f>
        <v>0</v>
      </c>
      <c r="F161" s="2053">
        <f>SUM(F160:F160)</f>
        <v>239735155</v>
      </c>
      <c r="G161" s="715"/>
      <c r="H161" s="717">
        <f>E161-F161</f>
        <v>-239735155</v>
      </c>
      <c r="I161" s="2572">
        <f>IF(H161&gt;0,H161,0)</f>
        <v>0</v>
      </c>
      <c r="J161" s="2572">
        <f>F161-E161</f>
        <v>239735155</v>
      </c>
      <c r="K161" s="2572">
        <f>IF(J161&gt;0,J161,0)</f>
        <v>239735155</v>
      </c>
    </row>
    <row r="162" spans="1:11" customFormat="1" ht="40.15" customHeight="1">
      <c r="A162" s="4468" t="s">
        <v>1667</v>
      </c>
      <c r="B162" s="4469"/>
      <c r="C162" s="3009">
        <f>+C26+C67+C76+C131+C159+C161</f>
        <v>269850788</v>
      </c>
      <c r="D162" s="3009">
        <f>+D26+D67+D76+D131+D159+D161</f>
        <v>269850788</v>
      </c>
      <c r="E162" s="3026">
        <f>+E26+E67+E76+E131+E159+E161</f>
        <v>286861387</v>
      </c>
      <c r="F162" s="3027">
        <f>+F26+F67+F76+F131+F159+F161</f>
        <v>286861387</v>
      </c>
      <c r="G162" s="715"/>
      <c r="H162" s="717">
        <f>E162-F162</f>
        <v>0</v>
      </c>
      <c r="I162" s="2572">
        <f>SUM(I7:I161)</f>
        <v>239735155</v>
      </c>
      <c r="J162" s="2572">
        <f>SUM(J7:J161)</f>
        <v>0</v>
      </c>
      <c r="K162" s="2572">
        <f>SUM(K7:K161)</f>
        <v>239735155</v>
      </c>
    </row>
    <row r="163" spans="1:11" customFormat="1" ht="30">
      <c r="A163" s="983"/>
      <c r="B163" s="984"/>
      <c r="C163" s="984"/>
      <c r="D163" s="984"/>
      <c r="E163" s="984"/>
      <c r="F163" s="984"/>
      <c r="G163" s="715"/>
      <c r="H163" s="715"/>
      <c r="I163" s="984"/>
      <c r="J163" s="984"/>
      <c r="K163" s="2802" t="str">
        <f>IF(I162-K162&lt;&gt;0,"eroare"," ")</f>
        <v xml:space="preserve"> </v>
      </c>
    </row>
    <row r="164" spans="1:11" customFormat="1" ht="12.75">
      <c r="A164" s="983"/>
      <c r="B164" s="984"/>
      <c r="C164" s="984"/>
      <c r="D164" s="984"/>
      <c r="E164" s="984"/>
      <c r="F164" s="984"/>
      <c r="G164" s="715"/>
      <c r="H164" s="715"/>
      <c r="I164" s="984"/>
      <c r="J164" s="984"/>
      <c r="K164" s="984"/>
    </row>
    <row r="165" spans="1:11" customFormat="1" ht="15.75">
      <c r="A165" s="983"/>
      <c r="B165" s="1633"/>
      <c r="C165" s="1633"/>
      <c r="D165" s="1633"/>
      <c r="E165" s="2054"/>
      <c r="F165" s="984"/>
      <c r="G165" s="715"/>
      <c r="H165" s="715"/>
      <c r="I165" s="984"/>
      <c r="J165" s="984"/>
      <c r="K165" s="2572"/>
    </row>
    <row r="166" spans="1:11" customFormat="1" ht="15.75">
      <c r="A166" s="1576" t="str">
        <f>+'ANEXA 1'!B94</f>
        <v>DIRECTOR  GENERAL,</v>
      </c>
      <c r="B166" s="4465" t="str">
        <f>+'ANEXA 1'!D94</f>
        <v>DIRECTOR  EXECUTIV  ECONOMIC,</v>
      </c>
      <c r="C166" s="4465"/>
      <c r="D166" s="4465"/>
      <c r="E166" s="4465"/>
      <c r="F166" s="4465"/>
      <c r="G166" s="715"/>
      <c r="H166" s="715"/>
      <c r="I166" s="984"/>
      <c r="J166" s="984"/>
      <c r="K166" s="984"/>
    </row>
    <row r="167" spans="1:11" customFormat="1" ht="15.75">
      <c r="A167" s="983"/>
      <c r="B167" s="1633"/>
      <c r="C167" s="1633"/>
      <c r="D167" s="1633"/>
      <c r="E167" s="2054"/>
      <c r="F167" s="2055"/>
      <c r="G167" s="715"/>
      <c r="H167" s="715"/>
      <c r="I167" s="984"/>
      <c r="J167" s="984"/>
      <c r="K167" s="984"/>
    </row>
    <row r="168" spans="1:11" customFormat="1" ht="15.75">
      <c r="A168" s="1576" t="str">
        <f>+'ANEXA 1'!B96</f>
        <v>EC.ALBU DRINA</v>
      </c>
      <c r="B168" s="4465" t="str">
        <f>+'ANEXA 1'!D96</f>
        <v>EC.BIRCU FLORINA</v>
      </c>
      <c r="C168" s="4465"/>
      <c r="D168" s="4465"/>
      <c r="E168" s="4465"/>
      <c r="F168" s="4465"/>
      <c r="G168" s="715"/>
      <c r="H168" s="715"/>
      <c r="I168" s="984"/>
      <c r="J168" s="984"/>
      <c r="K168" s="984"/>
    </row>
    <row r="169" spans="1:11" customFormat="1" ht="12.75">
      <c r="A169" s="1910">
        <f>'ANEXA 1'!B97</f>
        <v>0</v>
      </c>
      <c r="B169" s="984"/>
      <c r="C169" s="984"/>
      <c r="D169" s="984"/>
      <c r="E169" s="984"/>
      <c r="F169" s="984"/>
      <c r="G169" s="715"/>
      <c r="H169" s="715"/>
      <c r="I169" s="984"/>
      <c r="J169" s="984"/>
      <c r="K169" s="984"/>
    </row>
    <row r="170" spans="1:11" customFormat="1" ht="12.75">
      <c r="A170" s="983"/>
      <c r="B170" s="984"/>
      <c r="C170" s="984"/>
      <c r="D170" s="984"/>
      <c r="E170" s="984"/>
      <c r="F170" s="984"/>
      <c r="G170" s="715"/>
      <c r="H170" s="715"/>
      <c r="I170" s="984"/>
      <c r="J170" s="984"/>
      <c r="K170" s="984"/>
    </row>
    <row r="171" spans="1:11" customFormat="1" ht="12.75">
      <c r="A171" s="983"/>
      <c r="B171" s="984"/>
      <c r="C171" s="984"/>
      <c r="D171" s="984"/>
      <c r="E171" s="984"/>
      <c r="F171" s="984"/>
      <c r="G171" s="715"/>
      <c r="H171" s="715"/>
      <c r="I171" s="984"/>
      <c r="J171" s="984"/>
      <c r="K171" s="984"/>
    </row>
    <row r="172" spans="1:11" customFormat="1" ht="15">
      <c r="A172" s="1635"/>
      <c r="B172" s="984"/>
      <c r="C172" s="984"/>
      <c r="D172" s="984"/>
      <c r="E172" s="984"/>
      <c r="F172" s="984"/>
      <c r="G172" s="715"/>
      <c r="H172" s="715"/>
      <c r="I172" s="984"/>
      <c r="J172" s="984"/>
      <c r="K172" s="984"/>
    </row>
    <row r="173" spans="1:11" customFormat="1" ht="15">
      <c r="A173" s="1634">
        <f>+'ANEXA 1'!B99</f>
        <v>0</v>
      </c>
      <c r="B173" s="4460">
        <f>'ANEXA 1'!D99</f>
        <v>0</v>
      </c>
      <c r="C173" s="4460"/>
      <c r="D173" s="4460"/>
      <c r="E173" s="4460"/>
      <c r="F173" s="4460"/>
      <c r="G173" s="715"/>
      <c r="H173" s="715"/>
      <c r="I173" s="984"/>
      <c r="J173" s="984"/>
      <c r="K173" s="984"/>
    </row>
    <row r="175" spans="1:11" customFormat="1" ht="15">
      <c r="A175" s="1635">
        <f>+'ANEXA 1'!B101</f>
        <v>0</v>
      </c>
      <c r="B175" s="4001">
        <f>'ANEXA 1'!D101</f>
        <v>0</v>
      </c>
      <c r="C175" s="4001"/>
      <c r="D175" s="4001"/>
      <c r="E175" s="4001"/>
      <c r="F175" s="4001"/>
      <c r="G175" s="715"/>
      <c r="H175" s="715"/>
      <c r="I175" s="984"/>
      <c r="J175" s="984"/>
      <c r="K175" s="984"/>
    </row>
    <row r="176" spans="1:11" customFormat="1" ht="12.75">
      <c r="A176" s="983"/>
      <c r="B176" s="984"/>
      <c r="C176" s="984"/>
      <c r="D176" s="984"/>
      <c r="E176" s="984"/>
      <c r="F176" s="984"/>
      <c r="G176" s="715"/>
      <c r="H176" s="715"/>
      <c r="I176" s="984"/>
      <c r="J176" s="984"/>
      <c r="K176" s="984"/>
    </row>
    <row r="177" spans="1:6" customFormat="1" ht="12.75">
      <c r="A177" s="983"/>
      <c r="B177" s="984"/>
      <c r="C177" s="984"/>
      <c r="D177" s="984"/>
      <c r="E177" s="2045"/>
      <c r="F177" s="984"/>
    </row>
    <row r="178" spans="1:6" customFormat="1" ht="12.75">
      <c r="A178" s="983"/>
      <c r="B178" s="984"/>
      <c r="C178" s="984"/>
      <c r="D178" s="984"/>
      <c r="E178" s="984"/>
      <c r="F178" s="984"/>
    </row>
    <row r="179" spans="1:6" customFormat="1" ht="12.75">
      <c r="E179" s="1129"/>
      <c r="F179" s="715"/>
    </row>
    <row r="180" spans="1:6" customFormat="1" ht="12.75">
      <c r="E180" s="2056"/>
      <c r="F180" s="715"/>
    </row>
    <row r="182" spans="1:6" customFormat="1" ht="12.75">
      <c r="A182" s="983"/>
      <c r="B182" s="984"/>
      <c r="C182" s="984"/>
      <c r="D182" s="984"/>
      <c r="E182" s="984"/>
      <c r="F182" s="984"/>
    </row>
    <row r="184" spans="1:6" customFormat="1" ht="12.75">
      <c r="A184" s="983"/>
      <c r="B184" s="984"/>
      <c r="C184" s="984"/>
      <c r="D184" s="984"/>
      <c r="E184" s="984"/>
      <c r="F184" s="984"/>
    </row>
    <row r="185" spans="1:6" customFormat="1" ht="12.75">
      <c r="A185" s="983"/>
      <c r="B185" s="984"/>
      <c r="C185" s="984"/>
      <c r="D185" s="984"/>
      <c r="E185" s="984"/>
      <c r="F185" s="984"/>
    </row>
  </sheetData>
  <sheetProtection password="CFDD" sheet="1" objects="1" scenarios="1"/>
  <mergeCells count="18">
    <mergeCell ref="B173:F173"/>
    <mergeCell ref="B175:F175"/>
    <mergeCell ref="A26:B26"/>
    <mergeCell ref="A67:B67"/>
    <mergeCell ref="A76:B76"/>
    <mergeCell ref="B166:F166"/>
    <mergeCell ref="B168:F168"/>
    <mergeCell ref="A131:B131"/>
    <mergeCell ref="A159:B159"/>
    <mergeCell ref="A161:B161"/>
    <mergeCell ref="A162:B162"/>
    <mergeCell ref="A1:E1"/>
    <mergeCell ref="A2:F2"/>
    <mergeCell ref="A3:F3"/>
    <mergeCell ref="B5:B6"/>
    <mergeCell ref="E5:F5"/>
    <mergeCell ref="A5:A6"/>
    <mergeCell ref="C5:D5"/>
  </mergeCells>
  <dataValidations count="1">
    <dataValidation type="whole" allowBlank="1" showInputMessage="1" showErrorMessage="1" sqref="F22:F116 E7:E116 F7:F20 E117:F160">
      <formula1>-9.9999999E+28</formula1>
      <formula2>9.999999E+28</formula2>
    </dataValidation>
  </dataValidations>
  <pageMargins left="0.86614173228346458" right="0.31496062992125984" top="0.74803149606299213" bottom="0.74803149606299213" header="0.31496062992125984" footer="0.31496062992125984"/>
  <pageSetup paperSize="9" scale="75" orientation="portrait" r:id="rId1"/>
  <headerFooter>
    <oddFooter>&amp;A&amp;RPagina &amp;P</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2">
    <tabColor rgb="FF9999FF"/>
  </sheetPr>
  <dimension ref="A1:Q185"/>
  <sheetViews>
    <sheetView showZeros="0" zoomScaleNormal="100" workbookViewId="0">
      <selection activeCell="H89" sqref="H89"/>
    </sheetView>
  </sheetViews>
  <sheetFormatPr defaultColWidth="9.140625" defaultRowHeight="20.25"/>
  <cols>
    <col min="1" max="1" width="88.5703125" style="632" customWidth="1"/>
    <col min="2" max="2" width="23.140625" style="633" customWidth="1"/>
    <col min="3" max="3" width="13.28515625" style="2035" customWidth="1"/>
    <col min="4" max="4" width="9.140625" style="631"/>
    <col min="5" max="5" width="0" style="631" hidden="1" customWidth="1"/>
    <col min="6" max="8" width="9.140625" style="631"/>
    <col min="9" max="9" width="10.140625" style="631" bestFit="1" customWidth="1"/>
    <col min="10" max="10" width="9.140625" style="631"/>
    <col min="11" max="11" width="10.140625" style="631" bestFit="1" customWidth="1"/>
    <col min="12" max="16384" width="9.140625" style="631"/>
  </cols>
  <sheetData>
    <row r="1" spans="1:17">
      <c r="A1" s="3439" t="str">
        <f>'ANEXA 1'!A1</f>
        <v>CASA  DE  ASIGURĂRI  DE  SĂNĂTATE MEHEDINTI</v>
      </c>
    </row>
    <row r="2" spans="1:17">
      <c r="A2" s="634"/>
      <c r="B2" s="2994"/>
    </row>
    <row r="3" spans="1:17" ht="16.149999999999999" customHeight="1">
      <c r="A3" s="4470" t="s">
        <v>1416</v>
      </c>
      <c r="B3" s="4470"/>
      <c r="C3" s="2036"/>
      <c r="D3" s="2032"/>
      <c r="E3" s="2032"/>
      <c r="F3" s="2032"/>
      <c r="G3" s="2032"/>
      <c r="H3" s="2032"/>
      <c r="I3" s="2032"/>
      <c r="J3" s="2032"/>
      <c r="K3" s="2032"/>
      <c r="L3" s="2032"/>
      <c r="M3" s="2032"/>
      <c r="N3" s="2032"/>
      <c r="O3" s="2032"/>
      <c r="P3" s="2032"/>
      <c r="Q3" s="2032"/>
    </row>
    <row r="4" spans="1:17" ht="21.6" customHeight="1">
      <c r="A4" s="4470" t="s">
        <v>1417</v>
      </c>
      <c r="B4" s="4470"/>
      <c r="C4" s="2036"/>
      <c r="D4" s="2032"/>
      <c r="E4" s="2032"/>
      <c r="F4" s="2032"/>
      <c r="G4" s="2032"/>
      <c r="H4" s="2032"/>
      <c r="I4" s="2032"/>
      <c r="J4" s="2032"/>
      <c r="K4" s="2032"/>
      <c r="L4" s="2032"/>
      <c r="M4" s="2032"/>
      <c r="N4" s="2032"/>
      <c r="O4" s="2032"/>
      <c r="P4" s="2032"/>
      <c r="Q4" s="2032"/>
    </row>
    <row r="5" spans="1:17" ht="30.6" customHeight="1">
      <c r="B5" s="3464" t="s">
        <v>1031</v>
      </c>
    </row>
    <row r="6" spans="1:17" ht="36" customHeight="1">
      <c r="A6" s="3459" t="s">
        <v>181</v>
      </c>
      <c r="B6" s="3460" t="s">
        <v>2181</v>
      </c>
    </row>
    <row r="7" spans="1:17" s="635" customFormat="1" ht="14.45" customHeight="1">
      <c r="A7" s="3462" t="s">
        <v>92</v>
      </c>
      <c r="B7" s="3463">
        <v>1</v>
      </c>
      <c r="C7" s="2035"/>
    </row>
    <row r="8" spans="1:17" ht="18" customHeight="1">
      <c r="A8" s="3453" t="s">
        <v>2341</v>
      </c>
      <c r="B8" s="3461">
        <f>+B9+B30+B34</f>
        <v>132894938</v>
      </c>
    </row>
    <row r="9" spans="1:17" ht="18" customHeight="1">
      <c r="A9" s="3440" t="s">
        <v>185</v>
      </c>
      <c r="B9" s="3441">
        <f>+B10+B15+B23</f>
        <v>132894938</v>
      </c>
    </row>
    <row r="10" spans="1:17" ht="18" customHeight="1">
      <c r="A10" s="3440" t="s">
        <v>2340</v>
      </c>
      <c r="B10" s="3441">
        <f>SUM(B11:B14)</f>
        <v>103897541</v>
      </c>
    </row>
    <row r="11" spans="1:17" ht="18" customHeight="1">
      <c r="A11" s="3442" t="s">
        <v>1418</v>
      </c>
      <c r="B11" s="3443"/>
    </row>
    <row r="12" spans="1:17" ht="18" customHeight="1">
      <c r="A12" s="3442" t="s">
        <v>1419</v>
      </c>
      <c r="B12" s="3443">
        <v>5088961</v>
      </c>
    </row>
    <row r="13" spans="1:17" ht="18" customHeight="1">
      <c r="A13" s="3442" t="s">
        <v>1420</v>
      </c>
      <c r="B13" s="3443">
        <v>91223160</v>
      </c>
    </row>
    <row r="14" spans="1:17" ht="18" customHeight="1">
      <c r="A14" s="3442" t="s">
        <v>1421</v>
      </c>
      <c r="B14" s="3443">
        <v>7585420</v>
      </c>
    </row>
    <row r="15" spans="1:17" s="636" customFormat="1" ht="18" customHeight="1">
      <c r="A15" s="3440" t="s">
        <v>2342</v>
      </c>
      <c r="B15" s="3441">
        <f>SUM(B16:B22)</f>
        <v>27690580</v>
      </c>
      <c r="C15" s="2037"/>
    </row>
    <row r="16" spans="1:17" s="636" customFormat="1" ht="18" customHeight="1">
      <c r="A16" s="3444" t="s">
        <v>1422</v>
      </c>
      <c r="B16" s="3445"/>
      <c r="C16" s="2038"/>
    </row>
    <row r="17" spans="1:3" ht="18" customHeight="1">
      <c r="A17" s="3442" t="s">
        <v>1423</v>
      </c>
      <c r="B17" s="3445">
        <v>27690580</v>
      </c>
      <c r="C17" s="2037"/>
    </row>
    <row r="18" spans="1:3" ht="18" customHeight="1">
      <c r="A18" s="3442" t="s">
        <v>1424</v>
      </c>
      <c r="B18" s="3443"/>
    </row>
    <row r="19" spans="1:3" ht="18" customHeight="1">
      <c r="A19" s="3442" t="s">
        <v>2384</v>
      </c>
      <c r="B19" s="3443"/>
    </row>
    <row r="20" spans="1:3" ht="18" customHeight="1">
      <c r="A20" s="3442" t="s">
        <v>1425</v>
      </c>
      <c r="B20" s="3443"/>
    </row>
    <row r="21" spans="1:3">
      <c r="A21" s="3442" t="s">
        <v>2339</v>
      </c>
      <c r="B21" s="3443"/>
    </row>
    <row r="22" spans="1:3" ht="18" customHeight="1">
      <c r="A22" s="3442" t="s">
        <v>2385</v>
      </c>
      <c r="B22" s="3443"/>
    </row>
    <row r="23" spans="1:3" ht="18" customHeight="1">
      <c r="A23" s="3440" t="s">
        <v>2343</v>
      </c>
      <c r="B23" s="3441">
        <f>SUM(B24:B29)</f>
        <v>1306817</v>
      </c>
    </row>
    <row r="24" spans="1:3" ht="18" customHeight="1">
      <c r="A24" s="3442" t="s">
        <v>2124</v>
      </c>
      <c r="B24" s="3443"/>
    </row>
    <row r="25" spans="1:3" ht="18" customHeight="1">
      <c r="A25" s="3442" t="s">
        <v>1426</v>
      </c>
      <c r="B25" s="3443">
        <v>625003</v>
      </c>
    </row>
    <row r="26" spans="1:3" ht="18" customHeight="1">
      <c r="A26" s="3442" t="s">
        <v>1427</v>
      </c>
      <c r="B26" s="3443">
        <v>681814</v>
      </c>
    </row>
    <row r="27" spans="1:3" ht="18" customHeight="1">
      <c r="A27" s="3442" t="s">
        <v>1428</v>
      </c>
      <c r="B27" s="3443"/>
    </row>
    <row r="28" spans="1:3" ht="18" customHeight="1">
      <c r="A28" s="3442" t="s">
        <v>1429</v>
      </c>
      <c r="B28" s="3443"/>
    </row>
    <row r="29" spans="1:3" ht="18" customHeight="1">
      <c r="A29" s="3442" t="s">
        <v>1430</v>
      </c>
      <c r="B29" s="3443"/>
    </row>
    <row r="30" spans="1:3" s="636" customFormat="1" ht="18" customHeight="1">
      <c r="A30" s="3440" t="s">
        <v>2344</v>
      </c>
      <c r="B30" s="3441">
        <f>SUM(B31:B33)</f>
        <v>0</v>
      </c>
      <c r="C30" s="2035"/>
    </row>
    <row r="31" spans="1:3" ht="18" customHeight="1">
      <c r="A31" s="3442" t="s">
        <v>1431</v>
      </c>
      <c r="B31" s="3443"/>
    </row>
    <row r="32" spans="1:3" ht="18" customHeight="1">
      <c r="A32" s="3442" t="s">
        <v>1432</v>
      </c>
      <c r="B32" s="3443"/>
    </row>
    <row r="33" spans="1:5" ht="18" customHeight="1">
      <c r="A33" s="3442" t="s">
        <v>1433</v>
      </c>
      <c r="B33" s="3443"/>
    </row>
    <row r="34" spans="1:5" s="636" customFormat="1" ht="18" customHeight="1">
      <c r="A34" s="3440" t="s">
        <v>2345</v>
      </c>
      <c r="B34" s="3441">
        <f>B35</f>
        <v>0</v>
      </c>
      <c r="C34" s="2035"/>
    </row>
    <row r="35" spans="1:5" ht="18" customHeight="1">
      <c r="A35" s="3442" t="s">
        <v>1434</v>
      </c>
      <c r="B35" s="3443"/>
    </row>
    <row r="36" spans="1:5" s="636" customFormat="1" ht="18" customHeight="1">
      <c r="A36" s="3440" t="s">
        <v>2346</v>
      </c>
      <c r="B36" s="3441">
        <f>+B38+B85+B92</f>
        <v>209627251</v>
      </c>
      <c r="C36" s="2035"/>
    </row>
    <row r="37" spans="1:5" s="636" customFormat="1" ht="18" customHeight="1">
      <c r="A37" s="3446" t="s">
        <v>2386</v>
      </c>
      <c r="B37" s="3447"/>
      <c r="C37" s="2035"/>
    </row>
    <row r="38" spans="1:5" s="636" customFormat="1" ht="18" customHeight="1">
      <c r="A38" s="3440" t="s">
        <v>2347</v>
      </c>
      <c r="B38" s="3441">
        <f>+B39+B52+B56+B74+B80</f>
        <v>209627251</v>
      </c>
      <c r="C38" s="2035"/>
    </row>
    <row r="39" spans="1:5" s="636" customFormat="1" ht="18" customHeight="1">
      <c r="A39" s="3440" t="s">
        <v>2348</v>
      </c>
      <c r="B39" s="3441">
        <f>B40+B42+B43+B44+B45+B46+B47+B48+B50+B51</f>
        <v>2490913</v>
      </c>
      <c r="C39" s="2035"/>
    </row>
    <row r="40" spans="1:5" ht="18" customHeight="1">
      <c r="A40" s="3442" t="s">
        <v>1435</v>
      </c>
      <c r="B40" s="3443">
        <v>2328175</v>
      </c>
      <c r="C40" s="2039" t="str">
        <f>IF(B40+B48&lt;&gt;'CONT EXECUTIE  '!M37+'CONT EXECUTIE  '!M38+'CONT EXECUTIE  '!M39+'CONT EXECUTIE  '!M40+'CONT EXECUTIE  '!M43+'CONT EXECUTIE  '!M54+'CONT EXECUTIE  '!M107-'ANEXA 2 SOLDURI'!B72-B60,"eroare"," ")</f>
        <v xml:space="preserve"> </v>
      </c>
      <c r="E40" s="2033" t="s">
        <v>2381</v>
      </c>
    </row>
    <row r="41" spans="1:5" ht="18" customHeight="1">
      <c r="A41" s="3442" t="s">
        <v>2422</v>
      </c>
      <c r="B41" s="3443"/>
      <c r="C41" s="2039"/>
      <c r="E41" s="2033"/>
    </row>
    <row r="42" spans="1:5" ht="18" customHeight="1">
      <c r="A42" s="3442" t="s">
        <v>1436</v>
      </c>
      <c r="B42" s="3443">
        <v>63800</v>
      </c>
      <c r="C42" s="2039" t="str">
        <f>IF(B42&lt;&gt;'CONT EXECUTIE  '!M47,"eroare"," ")</f>
        <v xml:space="preserve"> </v>
      </c>
      <c r="E42" s="2033" t="s">
        <v>2355</v>
      </c>
    </row>
    <row r="43" spans="1:5" ht="18" customHeight="1">
      <c r="A43" s="3442" t="s">
        <v>1437</v>
      </c>
      <c r="B43" s="3443">
        <v>1096</v>
      </c>
      <c r="C43" s="2039" t="str">
        <f>IF(B43&lt;&gt;'CONT EXECUTIE  '!M49,"eroare"," ")</f>
        <v xml:space="preserve"> </v>
      </c>
      <c r="E43" s="2033" t="s">
        <v>2356</v>
      </c>
    </row>
    <row r="44" spans="1:5" ht="18" customHeight="1">
      <c r="A44" s="3442" t="s">
        <v>1438</v>
      </c>
      <c r="B44" s="3443">
        <v>35</v>
      </c>
      <c r="C44" s="2039" t="str">
        <f>IF(B44&lt;&gt;'CONT EXECUTIE  '!M50,"eroare"," ")</f>
        <v xml:space="preserve"> </v>
      </c>
      <c r="E44" s="2033" t="s">
        <v>2357</v>
      </c>
    </row>
    <row r="45" spans="1:5" ht="18" customHeight="1">
      <c r="A45" s="3442" t="s">
        <v>1439</v>
      </c>
      <c r="B45" s="3443">
        <v>361</v>
      </c>
      <c r="C45" s="2039" t="str">
        <f>IF(B45&lt;&gt;'CONT EXECUTIE  '!M51,"eroare"," ")</f>
        <v xml:space="preserve"> </v>
      </c>
      <c r="E45" s="2033" t="s">
        <v>2358</v>
      </c>
    </row>
    <row r="46" spans="1:5" ht="18" customHeight="1">
      <c r="A46" s="3442" t="s">
        <v>1440</v>
      </c>
      <c r="B46" s="3443">
        <v>10</v>
      </c>
      <c r="C46" s="2039" t="str">
        <f>IF(B46&lt;&gt;'CONT EXECUTIE  '!M52,"eroare"," ")</f>
        <v xml:space="preserve"> </v>
      </c>
      <c r="E46" s="2033" t="s">
        <v>2359</v>
      </c>
    </row>
    <row r="47" spans="1:5" ht="18" customHeight="1">
      <c r="A47" s="3442" t="s">
        <v>1441</v>
      </c>
      <c r="B47" s="3443">
        <v>59</v>
      </c>
      <c r="C47" s="2039" t="str">
        <f>IF(B47&lt;&gt;'CONT EXECUTIE  '!M53,"eroare"," ")</f>
        <v xml:space="preserve"> </v>
      </c>
      <c r="E47" s="2033" t="s">
        <v>2360</v>
      </c>
    </row>
    <row r="48" spans="1:5" ht="18" customHeight="1">
      <c r="A48" s="3452" t="s">
        <v>1961</v>
      </c>
      <c r="B48" s="3443">
        <v>53215</v>
      </c>
      <c r="C48" s="2039"/>
      <c r="E48" s="2033" t="s">
        <v>2361</v>
      </c>
    </row>
    <row r="49" spans="1:5" ht="18" customHeight="1">
      <c r="A49" s="3442" t="s">
        <v>2422</v>
      </c>
      <c r="B49" s="3443"/>
      <c r="C49" s="2039"/>
      <c r="E49" s="2033"/>
    </row>
    <row r="50" spans="1:5" ht="18" customHeight="1">
      <c r="A50" s="3442" t="s">
        <v>1442</v>
      </c>
      <c r="B50" s="3443"/>
      <c r="C50" s="2039" t="str">
        <f>IF(B50&lt;&gt;'CONT EXECUTIE  '!M56,"eroare"," ")</f>
        <v xml:space="preserve"> </v>
      </c>
      <c r="E50" s="2033" t="s">
        <v>2362</v>
      </c>
    </row>
    <row r="51" spans="1:5" ht="18" customHeight="1">
      <c r="A51" s="3442" t="s">
        <v>1443</v>
      </c>
      <c r="B51" s="3443">
        <v>44162</v>
      </c>
      <c r="C51" s="2039" t="str">
        <f>IF(B51+B88&lt;&gt;'CONT EXECUTIE  '!M41+'CONT EXECUTIE  '!M42+'CONT EXECUTIE  '!M44,"eroare"," ")</f>
        <v xml:space="preserve"> </v>
      </c>
      <c r="E51" s="2033" t="s">
        <v>2363</v>
      </c>
    </row>
    <row r="52" spans="1:5" s="636" customFormat="1" ht="18" customHeight="1">
      <c r="A52" s="3440" t="s">
        <v>2349</v>
      </c>
      <c r="B52" s="3441">
        <f>SUM(B53:B55)</f>
        <v>69884301</v>
      </c>
      <c r="C52" s="2037"/>
    </row>
    <row r="53" spans="1:5" ht="18" customHeight="1">
      <c r="A53" s="3442" t="s">
        <v>1444</v>
      </c>
      <c r="B53" s="3443">
        <v>60303790</v>
      </c>
      <c r="C53" s="2039" t="str">
        <f>IF(B53&lt;&gt;'CONT EXECUTIE  '!M89,"eroare"," ")</f>
        <v xml:space="preserve"> </v>
      </c>
      <c r="E53" s="631" t="s">
        <v>2382</v>
      </c>
    </row>
    <row r="54" spans="1:5" ht="23.45" customHeight="1">
      <c r="A54" s="3448" t="s">
        <v>1445</v>
      </c>
      <c r="B54" s="3449">
        <v>9580511</v>
      </c>
      <c r="C54" s="2039" t="str">
        <f>IF(B54&lt;&gt;'CONT EXECUTIE  '!M292,"eroare"," ")</f>
        <v xml:space="preserve"> </v>
      </c>
      <c r="E54" s="631" t="s">
        <v>2364</v>
      </c>
    </row>
    <row r="55" spans="1:5" ht="18" customHeight="1">
      <c r="A55" s="3450" t="s">
        <v>1446</v>
      </c>
      <c r="B55" s="3451"/>
      <c r="C55" s="2039" t="str">
        <f>IF(B55&lt;&gt;'CONT EXECUTIE  '!M120+'CONT EXECUTIE  '!M121,"eroare"," ")</f>
        <v xml:space="preserve"> </v>
      </c>
      <c r="E55" s="631" t="s">
        <v>2365</v>
      </c>
    </row>
    <row r="56" spans="1:5" s="636" customFormat="1" ht="18" customHeight="1">
      <c r="A56" s="3440" t="s">
        <v>2350</v>
      </c>
      <c r="B56" s="3441">
        <f>SUM(B57:B71)+B73-B60</f>
        <v>134438007</v>
      </c>
      <c r="C56" s="2037"/>
    </row>
    <row r="57" spans="1:5" ht="18" customHeight="1">
      <c r="A57" s="3442" t="s">
        <v>1447</v>
      </c>
      <c r="B57" s="3443">
        <v>5950</v>
      </c>
      <c r="C57" s="2039" t="str">
        <f>IF(B57&lt;&gt;'CONT EXECUTIE  '!M63,"eroare"," ")</f>
        <v xml:space="preserve"> </v>
      </c>
      <c r="E57" s="631" t="s">
        <v>2366</v>
      </c>
    </row>
    <row r="58" spans="1:5" ht="18" customHeight="1">
      <c r="A58" s="3442" t="s">
        <v>1448</v>
      </c>
      <c r="B58" s="3443"/>
      <c r="C58" s="2039" t="str">
        <f>IF(B58&lt;&gt;'CONT EXECUTIE  '!M64,"eroare"," ")</f>
        <v xml:space="preserve"> </v>
      </c>
      <c r="E58" s="631" t="s">
        <v>2367</v>
      </c>
    </row>
    <row r="59" spans="1:5" ht="18" customHeight="1">
      <c r="A59" s="3442" t="s">
        <v>1449</v>
      </c>
      <c r="B59" s="3443">
        <v>31199</v>
      </c>
      <c r="C59" s="2039" t="str">
        <f>IF(B59+B65+B71+B73+B81+B70+B62+B63+B90&lt;&gt;'CONT EXECUTIE  '!M59+'CONT EXECUTIE  '!M60+'CONT EXECUTIE  '!M66+'CONT EXECUTIE  '!M69+'CONT EXECUTIE  '!M78+'CONT EXECUTIE  '!M81+'CONT EXECUTIE  '!M85+'CONT EXECUTIE  '!M82+'CONT EXECUTIE  '!M61+'CONT EXECUTIE  '!M62+'CONT EXECUTIE  '!M80+'CONT EXECUTIE  '!M79+'CONT EXECUTIE  '!M72+'CONT EXECUTIE  '!M113+B72+B60,"eroare"," ")</f>
        <v xml:space="preserve"> </v>
      </c>
      <c r="E59" s="631" t="s">
        <v>2377</v>
      </c>
    </row>
    <row r="60" spans="1:5" ht="18" customHeight="1">
      <c r="A60" s="3442" t="s">
        <v>2422</v>
      </c>
      <c r="B60" s="3443"/>
      <c r="C60" s="2039"/>
    </row>
    <row r="61" spans="1:5" ht="18" customHeight="1">
      <c r="A61" s="3442" t="s">
        <v>1450</v>
      </c>
      <c r="B61" s="3443"/>
      <c r="C61" s="2039" t="str">
        <f>IF(B61&lt;&gt;'CONT EXECUTIE  '!M74,"eroare"," ")</f>
        <v xml:space="preserve"> </v>
      </c>
      <c r="E61" s="631" t="s">
        <v>2383</v>
      </c>
    </row>
    <row r="62" spans="1:5" ht="18" customHeight="1">
      <c r="A62" s="3442" t="s">
        <v>1451</v>
      </c>
      <c r="B62" s="3443">
        <v>72966</v>
      </c>
      <c r="C62" s="2038"/>
      <c r="E62" s="631" t="s">
        <v>2376</v>
      </c>
    </row>
    <row r="63" spans="1:5" ht="18" customHeight="1">
      <c r="A63" s="3442" t="s">
        <v>1452</v>
      </c>
      <c r="B63" s="3443">
        <v>8881</v>
      </c>
      <c r="C63" s="2038"/>
      <c r="E63" s="2034">
        <v>20.02</v>
      </c>
    </row>
    <row r="64" spans="1:5" ht="18" customHeight="1">
      <c r="A64" s="3442" t="s">
        <v>1453</v>
      </c>
      <c r="B64" s="3443">
        <v>8500</v>
      </c>
      <c r="C64" s="2039" t="str">
        <f>IF(B64&lt;&gt;'CONT EXECUTIE  '!M84,"eroare"," ")</f>
        <v xml:space="preserve"> </v>
      </c>
      <c r="E64" s="631" t="s">
        <v>2368</v>
      </c>
    </row>
    <row r="65" spans="1:5" ht="18" customHeight="1">
      <c r="A65" s="3442" t="s">
        <v>1454</v>
      </c>
      <c r="B65" s="3443"/>
      <c r="C65" s="2037"/>
      <c r="E65" s="2040" t="s">
        <v>2369</v>
      </c>
    </row>
    <row r="66" spans="1:5" ht="18" customHeight="1">
      <c r="A66" s="3442" t="s">
        <v>1455</v>
      </c>
      <c r="B66" s="3443"/>
      <c r="C66" s="2039" t="str">
        <f>IF(B66+B89+B67&lt;&gt;'CONT EXECUTIE  '!M76+'CONT EXECUTIE  '!M77,"eroare"," ")</f>
        <v xml:space="preserve"> </v>
      </c>
      <c r="E66" s="631" t="s">
        <v>2370</v>
      </c>
    </row>
    <row r="67" spans="1:5" ht="18" customHeight="1">
      <c r="A67" s="3442" t="s">
        <v>1456</v>
      </c>
      <c r="B67" s="3443"/>
      <c r="C67" s="2038"/>
    </row>
    <row r="68" spans="1:5" ht="18" customHeight="1">
      <c r="A68" s="3442" t="s">
        <v>1457</v>
      </c>
      <c r="B68" s="3443"/>
      <c r="C68" s="2037"/>
      <c r="E68" s="631" t="s">
        <v>2371</v>
      </c>
    </row>
    <row r="69" spans="1:5" ht="18" customHeight="1">
      <c r="A69" s="3442" t="s">
        <v>1458</v>
      </c>
      <c r="B69" s="3443">
        <v>22806</v>
      </c>
      <c r="C69" s="2039" t="str">
        <f>IF(B69&lt;&gt;'CONT EXECUTIE  '!M65,"eroare"," ")</f>
        <v xml:space="preserve"> </v>
      </c>
      <c r="E69" s="631" t="s">
        <v>2372</v>
      </c>
    </row>
    <row r="70" spans="1:5" ht="18" customHeight="1">
      <c r="A70" s="3442" t="s">
        <v>1459</v>
      </c>
      <c r="B70" s="3443"/>
      <c r="C70" s="2038"/>
      <c r="E70" s="631" t="s">
        <v>2373</v>
      </c>
    </row>
    <row r="71" spans="1:5" ht="18" customHeight="1">
      <c r="A71" s="3442" t="s">
        <v>1460</v>
      </c>
      <c r="B71" s="3443">
        <v>134283543</v>
      </c>
      <c r="C71" s="2038"/>
      <c r="E71" s="2040" t="s">
        <v>2374</v>
      </c>
    </row>
    <row r="72" spans="1:5" ht="18" customHeight="1">
      <c r="A72" s="3442" t="s">
        <v>2422</v>
      </c>
      <c r="B72" s="3443"/>
      <c r="C72" s="2038"/>
      <c r="E72" s="2040"/>
    </row>
    <row r="73" spans="1:5" ht="18" customHeight="1">
      <c r="A73" s="3442" t="s">
        <v>1461</v>
      </c>
      <c r="B73" s="3443">
        <v>4162</v>
      </c>
      <c r="C73" s="2037"/>
      <c r="E73" s="2041" t="s">
        <v>2375</v>
      </c>
    </row>
    <row r="74" spans="1:5" s="636" customFormat="1" ht="18" customHeight="1">
      <c r="A74" s="3440" t="s">
        <v>2351</v>
      </c>
      <c r="B74" s="3441">
        <f>SUM(B75:B79)</f>
        <v>2814030</v>
      </c>
      <c r="C74" s="2037"/>
    </row>
    <row r="75" spans="1:5" ht="18" customHeight="1">
      <c r="A75" s="3442" t="s">
        <v>1462</v>
      </c>
      <c r="B75" s="3443">
        <v>25868</v>
      </c>
      <c r="C75" s="2039" t="str">
        <f>IF(B75+B79&lt;&gt;'CONT EXECUTIE  '!M125+'CONT EXECUTIE  '!M126+'CONT EXECUTIE  '!M127+'CONT EXECUTIE  '!M128+'CONT EXECUTIE  '!M129,"eroare"," ")</f>
        <v xml:space="preserve"> </v>
      </c>
      <c r="E75" s="631" t="s">
        <v>2378</v>
      </c>
    </row>
    <row r="76" spans="1:5" ht="18" customHeight="1">
      <c r="A76" s="3442" t="s">
        <v>1463</v>
      </c>
      <c r="B76" s="3443">
        <v>2788162</v>
      </c>
      <c r="C76" s="2038"/>
    </row>
    <row r="77" spans="1:5" ht="18" customHeight="1">
      <c r="A77" s="3442" t="s">
        <v>1464</v>
      </c>
      <c r="B77" s="3443"/>
      <c r="C77" s="2037"/>
    </row>
    <row r="78" spans="1:5" ht="18" customHeight="1">
      <c r="A78" s="3442" t="s">
        <v>1465</v>
      </c>
      <c r="B78" s="3443"/>
      <c r="C78" s="2037"/>
    </row>
    <row r="79" spans="1:5" ht="18" customHeight="1">
      <c r="A79" s="3442" t="s">
        <v>1466</v>
      </c>
      <c r="B79" s="3443"/>
      <c r="C79" s="2037"/>
      <c r="E79" s="631" t="s">
        <v>2379</v>
      </c>
    </row>
    <row r="80" spans="1:5" s="636" customFormat="1" ht="18" customHeight="1">
      <c r="A80" s="3440" t="s">
        <v>2352</v>
      </c>
      <c r="B80" s="3441">
        <f>SUM(B81:B84)</f>
        <v>0</v>
      </c>
      <c r="C80" s="2037"/>
    </row>
    <row r="81" spans="1:12" ht="18" customHeight="1">
      <c r="A81" s="3442" t="s">
        <v>1467</v>
      </c>
      <c r="B81" s="3443"/>
      <c r="C81" s="2037"/>
      <c r="E81" s="2040" t="s">
        <v>2373</v>
      </c>
    </row>
    <row r="82" spans="1:12" ht="18" customHeight="1">
      <c r="A82" s="3442" t="s">
        <v>1468</v>
      </c>
      <c r="B82" s="3443"/>
      <c r="C82" s="2037"/>
      <c r="I82" s="2043"/>
      <c r="K82" s="2043"/>
    </row>
    <row r="83" spans="1:12" ht="18" customHeight="1">
      <c r="A83" s="3442" t="s">
        <v>1469</v>
      </c>
      <c r="B83" s="3443"/>
      <c r="C83" s="2037"/>
      <c r="I83" s="2043"/>
      <c r="K83" s="2043"/>
    </row>
    <row r="84" spans="1:12" ht="18" customHeight="1">
      <c r="A84" s="3442" t="s">
        <v>1470</v>
      </c>
      <c r="B84" s="3443"/>
      <c r="C84" s="2037"/>
      <c r="I84" s="2043"/>
      <c r="K84" s="2043"/>
    </row>
    <row r="85" spans="1:12" s="636" customFormat="1" ht="18" customHeight="1">
      <c r="A85" s="3440" t="s">
        <v>2353</v>
      </c>
      <c r="B85" s="3441">
        <f>B86+B87+B91</f>
        <v>0</v>
      </c>
      <c r="C85" s="2037"/>
      <c r="K85" s="2043"/>
    </row>
    <row r="86" spans="1:12" ht="18" customHeight="1">
      <c r="A86" s="3442" t="s">
        <v>1471</v>
      </c>
      <c r="B86" s="3443"/>
      <c r="C86" s="2037"/>
      <c r="K86" s="2043"/>
    </row>
    <row r="87" spans="1:12" ht="18" customHeight="1">
      <c r="A87" s="3442" t="s">
        <v>1472</v>
      </c>
      <c r="B87" s="3443"/>
      <c r="C87" s="2037"/>
      <c r="K87" s="2043"/>
    </row>
    <row r="88" spans="1:12" ht="18" customHeight="1">
      <c r="A88" s="3442" t="s">
        <v>2546</v>
      </c>
      <c r="B88" s="3443"/>
      <c r="C88" s="2037"/>
      <c r="K88" s="2043"/>
    </row>
    <row r="89" spans="1:12" ht="18" customHeight="1">
      <c r="A89" s="3442" t="s">
        <v>2547</v>
      </c>
      <c r="B89" s="3443"/>
      <c r="C89" s="2037"/>
      <c r="K89" s="2043"/>
    </row>
    <row r="90" spans="1:12" ht="18" customHeight="1">
      <c r="A90" s="3442" t="s">
        <v>2548</v>
      </c>
      <c r="B90" s="3443"/>
      <c r="C90" s="2037"/>
      <c r="K90" s="2043"/>
    </row>
    <row r="91" spans="1:12" ht="18" customHeight="1">
      <c r="A91" s="3442" t="s">
        <v>1473</v>
      </c>
      <c r="B91" s="3443"/>
      <c r="C91" s="2039" t="str">
        <f>IF(B91&lt;&gt;'CONT EXECUTIE  '!M88,"eroare"," ")</f>
        <v xml:space="preserve"> </v>
      </c>
      <c r="E91" s="631" t="s">
        <v>2380</v>
      </c>
      <c r="K91" s="2043"/>
      <c r="L91" s="2043"/>
    </row>
    <row r="92" spans="1:12" s="636" customFormat="1" ht="18" customHeight="1">
      <c r="A92" s="3440" t="s">
        <v>2354</v>
      </c>
      <c r="B92" s="3441">
        <f>SUM(B93:B93)</f>
        <v>0</v>
      </c>
      <c r="C92" s="2037"/>
      <c r="K92" s="2043"/>
    </row>
    <row r="93" spans="1:12" ht="18" customHeight="1">
      <c r="A93" s="3448" t="s">
        <v>1474</v>
      </c>
      <c r="B93" s="3449"/>
      <c r="C93" s="2039" t="str">
        <f>IF(B36-B82-B93-B76-B83-B84-B77-B78&lt;&gt;'CONT EXECUTIE  '!M8,"eroare"," ")</f>
        <v xml:space="preserve"> </v>
      </c>
    </row>
    <row r="94" spans="1:12" ht="18" customHeight="1">
      <c r="A94" s="3456"/>
      <c r="B94" s="3457"/>
      <c r="C94" s="2039"/>
    </row>
    <row r="95" spans="1:12">
      <c r="A95" s="638" t="str">
        <f>'ANEXA 1'!B94</f>
        <v>DIRECTOR  GENERAL,</v>
      </c>
      <c r="B95" s="637"/>
    </row>
    <row r="96" spans="1:12">
      <c r="B96" s="639"/>
    </row>
    <row r="97" spans="1:3">
      <c r="A97" s="638" t="str">
        <f>'ANEXA 1'!B96</f>
        <v>EC.ALBU DRINA</v>
      </c>
    </row>
    <row r="98" spans="1:3">
      <c r="A98" s="3458">
        <f>'ANEXA 1'!B97</f>
        <v>0</v>
      </c>
      <c r="B98" s="637"/>
    </row>
    <row r="100" spans="1:3">
      <c r="A100" s="4471" t="str">
        <f>'ANEXA 1'!D94</f>
        <v>DIRECTOR  EXECUTIV  ECONOMIC,</v>
      </c>
      <c r="B100" s="4471"/>
    </row>
    <row r="101" spans="1:3" ht="13.15" customHeight="1"/>
    <row r="102" spans="1:3">
      <c r="A102" s="4472" t="str">
        <f>'ANEXA 1'!D96</f>
        <v>EC.BIRCU FLORINA</v>
      </c>
      <c r="B102" s="4472"/>
    </row>
    <row r="103" spans="1:3" ht="15" customHeight="1">
      <c r="A103" s="3454"/>
      <c r="B103" s="3454"/>
    </row>
    <row r="104" spans="1:3" ht="15" customHeight="1">
      <c r="A104" s="1637"/>
      <c r="B104" s="2995"/>
    </row>
    <row r="105" spans="1:3" s="2033" customFormat="1">
      <c r="A105" s="1636">
        <f>+'ANEXA 1'!B99</f>
        <v>0</v>
      </c>
      <c r="B105" s="3455">
        <f>'ANEXA 1'!D99</f>
        <v>0</v>
      </c>
      <c r="C105" s="2035"/>
    </row>
    <row r="106" spans="1:3" ht="12" customHeight="1">
      <c r="B106" s="1129"/>
    </row>
    <row r="107" spans="1:3">
      <c r="A107" s="1637">
        <f>+'ANEXA 1'!B101</f>
        <v>0</v>
      </c>
      <c r="B107" s="2996">
        <f>'ANEXA 1'!D101</f>
        <v>0</v>
      </c>
    </row>
    <row r="108" spans="1:3">
      <c r="B108" s="2056"/>
    </row>
    <row r="113" s="631" customFormat="1" ht="15"/>
    <row r="114" s="631" customFormat="1" ht="15"/>
    <row r="115" s="631" customFormat="1" ht="15"/>
    <row r="116" s="631" customFormat="1" ht="15"/>
    <row r="117" s="631" customFormat="1" ht="15"/>
    <row r="118" s="631" customFormat="1" ht="15"/>
    <row r="119" s="631" customFormat="1" ht="15"/>
    <row r="120" s="631" customFormat="1" ht="15"/>
    <row r="121" s="631" customFormat="1" ht="15"/>
    <row r="122" s="631" customFormat="1" ht="15"/>
    <row r="123" s="631" customFormat="1" ht="15"/>
    <row r="124" s="631" customFormat="1" ht="15"/>
    <row r="125" s="631" customFormat="1" ht="15"/>
    <row r="126" s="631" customFormat="1" ht="15"/>
    <row r="127" s="631" customFormat="1" ht="15"/>
    <row r="128" s="631" customFormat="1" ht="15"/>
    <row r="129" s="631" customFormat="1" ht="15"/>
    <row r="130" s="631" customFormat="1" ht="15"/>
    <row r="131" s="631" customFormat="1" ht="15"/>
    <row r="132" s="631" customFormat="1" ht="15"/>
    <row r="133" s="631" customFormat="1" ht="15"/>
    <row r="134" s="631" customFormat="1" ht="15"/>
    <row r="135" s="631" customFormat="1" ht="15"/>
    <row r="136" s="631" customFormat="1" ht="15"/>
    <row r="137" s="631" customFormat="1" ht="15"/>
    <row r="138" s="631" customFormat="1" ht="15"/>
    <row r="139" s="631" customFormat="1" ht="15"/>
    <row r="140" s="631" customFormat="1" ht="15"/>
    <row r="141" s="631" customFormat="1" ht="15"/>
    <row r="142" s="631" customFormat="1" ht="15"/>
    <row r="143" s="631" customFormat="1" ht="15"/>
    <row r="144" s="631" customFormat="1" ht="15"/>
    <row r="145" s="631" customFormat="1" ht="15"/>
    <row r="146" s="631" customFormat="1" ht="15"/>
    <row r="147" s="631" customFormat="1" ht="15"/>
    <row r="148" s="631" customFormat="1" ht="15"/>
    <row r="149" s="631" customFormat="1" ht="15"/>
    <row r="150" s="631" customFormat="1" ht="15"/>
    <row r="151" s="631" customFormat="1" ht="15"/>
    <row r="152" s="631" customFormat="1" ht="15"/>
    <row r="153" s="631" customFormat="1" ht="15"/>
    <row r="154" s="631" customFormat="1" ht="15"/>
    <row r="155" s="631" customFormat="1" ht="15"/>
    <row r="156" s="631" customFormat="1" ht="15"/>
    <row r="157" s="631" customFormat="1" ht="15"/>
    <row r="158" s="631" customFormat="1" ht="15"/>
    <row r="159" s="631" customFormat="1" ht="15"/>
    <row r="160" s="631" customFormat="1" ht="15"/>
    <row r="161" s="631" customFormat="1" ht="15"/>
    <row r="162" s="631" customFormat="1" ht="15"/>
    <row r="163" s="631" customFormat="1" ht="15"/>
    <row r="164" s="631" customFormat="1" ht="15"/>
    <row r="165" s="631" customFormat="1" ht="15"/>
    <row r="166" s="631" customFormat="1" ht="15"/>
    <row r="167" s="631" customFormat="1" ht="15"/>
    <row r="168" s="631" customFormat="1" ht="15"/>
    <row r="169" s="631" customFormat="1" ht="15"/>
    <row r="170" s="631" customFormat="1" ht="15"/>
    <row r="171" s="631" customFormat="1" ht="15"/>
    <row r="172" s="631" customFormat="1" ht="15"/>
    <row r="173" s="631" customFormat="1" ht="15"/>
    <row r="174" s="631" customFormat="1" ht="15"/>
    <row r="175" s="631" customFormat="1" ht="15"/>
    <row r="176" s="631" customFormat="1" ht="15"/>
    <row r="177" s="631" customFormat="1" ht="15"/>
    <row r="179" s="631" customFormat="1" ht="15"/>
    <row r="180" s="631" customFormat="1" ht="15"/>
    <row r="181" s="631" customFormat="1" ht="15"/>
    <row r="182" s="631" customFormat="1" ht="15"/>
    <row r="183" s="631" customFormat="1" ht="15"/>
    <row r="184" s="631" customFormat="1" ht="15"/>
    <row r="185" s="631" customFormat="1" ht="15"/>
  </sheetData>
  <sheetProtection password="CFDD" sheet="1" objects="1" scenarios="1"/>
  <mergeCells count="4">
    <mergeCell ref="A3:B3"/>
    <mergeCell ref="A4:B4"/>
    <mergeCell ref="A100:B100"/>
    <mergeCell ref="A102:B102"/>
  </mergeCells>
  <phoneticPr fontId="0" type="noConversion"/>
  <dataValidations count="1">
    <dataValidation type="whole" allowBlank="1" showErrorMessage="1" sqref="B8:B94">
      <formula1>0</formula1>
      <formula2>9.99999999999999E+21</formula2>
    </dataValidation>
  </dataValidations>
  <pageMargins left="0.70866141732283472" right="0.51181102362204722" top="0.70866141732283472" bottom="0.55118110236220474" header="0.51181102362204722" footer="0.15748031496062992"/>
  <pageSetup paperSize="9" scale="78" firstPageNumber="0" orientation="portrait" r:id="rId1"/>
  <headerFooter alignWithMargins="0">
    <oddFooter>&amp;C&amp;A&amp;RPage &amp;P</oddFooter>
  </headerFooter>
  <rowBreaks count="2" manualBreakCount="2">
    <brk id="54" max="1" man="1"/>
    <brk id="108" max="1" man="1"/>
  </rowBreaks>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33">
    <tabColor indexed="24"/>
  </sheetPr>
  <dimension ref="A1:G120"/>
  <sheetViews>
    <sheetView showZeros="0" zoomScaleNormal="100" workbookViewId="0">
      <selection activeCell="J9" sqref="J9"/>
    </sheetView>
  </sheetViews>
  <sheetFormatPr defaultColWidth="9.140625" defaultRowHeight="20.25"/>
  <cols>
    <col min="1" max="1" width="51.5703125" style="213" customWidth="1"/>
    <col min="2" max="2" width="10.28515625" style="640" customWidth="1"/>
    <col min="3" max="3" width="17" style="213" customWidth="1"/>
    <col min="4" max="4" width="16" style="213" customWidth="1"/>
    <col min="5" max="5" width="18.140625" style="213" customWidth="1"/>
    <col min="6" max="6" width="15.140625" style="641" customWidth="1"/>
    <col min="7" max="16384" width="9.140625" style="213"/>
  </cols>
  <sheetData>
    <row r="1" spans="1:7">
      <c r="A1" s="3989" t="str">
        <f>'ANEXA 1'!A1</f>
        <v>CASA  DE  ASIGURĂRI  DE  SĂNĂTATE MEHEDINTI</v>
      </c>
      <c r="B1" s="3989"/>
      <c r="C1" s="3989"/>
    </row>
    <row r="2" spans="1:7" s="48" customFormat="1" ht="7.5" customHeight="1">
      <c r="B2" s="360"/>
      <c r="F2" s="642"/>
    </row>
    <row r="3" spans="1:7" s="48" customFormat="1">
      <c r="A3" s="4166" t="s">
        <v>2182</v>
      </c>
      <c r="B3" s="4166"/>
      <c r="C3" s="4166"/>
      <c r="D3" s="4166"/>
      <c r="E3" s="4166"/>
      <c r="F3" s="643"/>
      <c r="G3" s="644"/>
    </row>
    <row r="4" spans="1:7" s="48" customFormat="1" ht="13.15" customHeight="1">
      <c r="A4" s="4480" t="str">
        <f>'ANEXA 1'!A12</f>
        <v>la  data  de  30  IUNIE  2023</v>
      </c>
      <c r="B4" s="4480"/>
      <c r="C4" s="4480"/>
      <c r="D4" s="4480"/>
      <c r="E4" s="4480"/>
      <c r="F4" s="643"/>
      <c r="G4" s="644"/>
    </row>
    <row r="5" spans="1:7" s="48" customFormat="1" ht="12" customHeight="1">
      <c r="A5" s="332"/>
      <c r="B5" s="332"/>
      <c r="C5" s="332"/>
      <c r="D5" s="332"/>
      <c r="E5" s="645" t="s">
        <v>428</v>
      </c>
      <c r="F5" s="643"/>
      <c r="G5" s="644"/>
    </row>
    <row r="6" spans="1:7" s="48" customFormat="1" ht="20.25" customHeight="1">
      <c r="A6" s="4474" t="s">
        <v>685</v>
      </c>
      <c r="B6" s="4476" t="s">
        <v>808</v>
      </c>
      <c r="C6" s="4476" t="s">
        <v>689</v>
      </c>
      <c r="D6" s="4476" t="s">
        <v>1475</v>
      </c>
      <c r="E6" s="4478" t="s">
        <v>231</v>
      </c>
      <c r="F6" s="642"/>
    </row>
    <row r="7" spans="1:7" s="48" customFormat="1" ht="18" customHeight="1">
      <c r="A7" s="4475"/>
      <c r="B7" s="4477"/>
      <c r="C7" s="4477"/>
      <c r="D7" s="4477"/>
      <c r="E7" s="4479"/>
      <c r="F7" s="642"/>
    </row>
    <row r="8" spans="1:7" s="48" customFormat="1" ht="11.45" customHeight="1">
      <c r="A8" s="1735" t="s">
        <v>92</v>
      </c>
      <c r="B8" s="1736" t="s">
        <v>93</v>
      </c>
      <c r="C8" s="1737">
        <v>1</v>
      </c>
      <c r="D8" s="1737">
        <v>2</v>
      </c>
      <c r="E8" s="1738" t="s">
        <v>1476</v>
      </c>
      <c r="F8" s="642"/>
    </row>
    <row r="9" spans="1:7" s="48" customFormat="1" ht="18" customHeight="1">
      <c r="A9" s="1359" t="s">
        <v>695</v>
      </c>
      <c r="B9" s="1916" t="s">
        <v>696</v>
      </c>
      <c r="C9" s="1917">
        <f>ROUND(C10+C69+C92+C99,1)+C100</f>
        <v>128174630</v>
      </c>
      <c r="D9" s="1917">
        <f>ROUND(D10+D69+D92+D99,1)</f>
        <v>0</v>
      </c>
      <c r="E9" s="1918">
        <f>D9+C9</f>
        <v>128174630</v>
      </c>
      <c r="F9" s="25"/>
    </row>
    <row r="10" spans="1:7" s="48" customFormat="1" ht="18" customHeight="1">
      <c r="A10" s="1711" t="s">
        <v>697</v>
      </c>
      <c r="B10" s="1696" t="s">
        <v>698</v>
      </c>
      <c r="C10" s="1695">
        <f>ROUND(+C11+C17+C56,)</f>
        <v>101580835</v>
      </c>
      <c r="D10" s="1695">
        <f>ROUND(+D11+D17+D56,)</f>
        <v>0</v>
      </c>
      <c r="E10" s="1712">
        <f>D10+C10</f>
        <v>101580835</v>
      </c>
      <c r="F10" s="642"/>
    </row>
    <row r="11" spans="1:7" s="48" customFormat="1" ht="18" customHeight="1">
      <c r="A11" s="1711" t="s">
        <v>699</v>
      </c>
      <c r="B11" s="1696" t="s">
        <v>700</v>
      </c>
      <c r="C11" s="1695">
        <f>C12</f>
        <v>0</v>
      </c>
      <c r="D11" s="1695">
        <f>D12</f>
        <v>0</v>
      </c>
      <c r="E11" s="1712">
        <f t="shared" ref="E11:E16" si="0">C11+D11</f>
        <v>0</v>
      </c>
      <c r="F11" s="25"/>
    </row>
    <row r="12" spans="1:7" s="48" customFormat="1" ht="18" customHeight="1">
      <c r="A12" s="1711" t="s">
        <v>701</v>
      </c>
      <c r="B12" s="1696" t="s">
        <v>434</v>
      </c>
      <c r="C12" s="1695">
        <f>C13+C14+C15+C16</f>
        <v>0</v>
      </c>
      <c r="D12" s="1695">
        <f>D13+D14+D15+D16</f>
        <v>0</v>
      </c>
      <c r="E12" s="1712">
        <f t="shared" si="0"/>
        <v>0</v>
      </c>
      <c r="F12" s="642"/>
    </row>
    <row r="13" spans="1:7" s="48" customFormat="1" ht="24.75" customHeight="1">
      <c r="A13" s="1713" t="s">
        <v>702</v>
      </c>
      <c r="B13" s="1697" t="s">
        <v>703</v>
      </c>
      <c r="C13" s="1698"/>
      <c r="D13" s="1698"/>
      <c r="E13" s="1714">
        <f t="shared" si="0"/>
        <v>0</v>
      </c>
      <c r="F13" s="646"/>
    </row>
    <row r="14" spans="1:7" s="48" customFormat="1" ht="24.75" customHeight="1">
      <c r="A14" s="1713" t="s">
        <v>704</v>
      </c>
      <c r="B14" s="1697" t="s">
        <v>705</v>
      </c>
      <c r="C14" s="1698"/>
      <c r="D14" s="1698"/>
      <c r="E14" s="1714">
        <f t="shared" si="0"/>
        <v>0</v>
      </c>
      <c r="F14" s="646"/>
    </row>
    <row r="15" spans="1:7" s="48" customFormat="1" ht="24.75" customHeight="1">
      <c r="A15" s="1713" t="s">
        <v>706</v>
      </c>
      <c r="B15" s="1697" t="s">
        <v>707</v>
      </c>
      <c r="C15" s="1698"/>
      <c r="D15" s="1698"/>
      <c r="E15" s="1714">
        <f t="shared" si="0"/>
        <v>0</v>
      </c>
      <c r="F15" s="646"/>
    </row>
    <row r="16" spans="1:7" s="48" customFormat="1" ht="38.25">
      <c r="A16" s="1713" t="s">
        <v>708</v>
      </c>
      <c r="B16" s="1697" t="s">
        <v>709</v>
      </c>
      <c r="C16" s="1698"/>
      <c r="D16" s="1698"/>
      <c r="E16" s="1714">
        <f t="shared" si="0"/>
        <v>0</v>
      </c>
      <c r="F16" s="646"/>
    </row>
    <row r="17" spans="1:6" s="48" customFormat="1">
      <c r="A17" s="1711" t="s">
        <v>710</v>
      </c>
      <c r="B17" s="1696" t="s">
        <v>711</v>
      </c>
      <c r="C17" s="1695">
        <f>ROUND(+C18+C32,1)</f>
        <v>100959053</v>
      </c>
      <c r="D17" s="1695">
        <f>ROUND(+D18+D32,1)</f>
        <v>0</v>
      </c>
      <c r="E17" s="1712">
        <f>D17+C17</f>
        <v>100959053</v>
      </c>
      <c r="F17" s="642"/>
    </row>
    <row r="18" spans="1:6" s="48" customFormat="1" ht="18">
      <c r="A18" s="1715" t="s">
        <v>712</v>
      </c>
      <c r="B18" s="1696" t="s">
        <v>713</v>
      </c>
      <c r="C18" s="1695">
        <f>ROUND(+C19+C27+C30,1)</f>
        <v>5716319</v>
      </c>
      <c r="D18" s="1695">
        <f>ROUND(+D19+D27+D30,1)</f>
        <v>0</v>
      </c>
      <c r="E18" s="1712">
        <f>D18+C18</f>
        <v>5716319</v>
      </c>
      <c r="F18" s="25"/>
    </row>
    <row r="19" spans="1:6" s="48" customFormat="1" ht="25.5">
      <c r="A19" s="1711" t="s">
        <v>714</v>
      </c>
      <c r="B19" s="1699" t="s">
        <v>715</v>
      </c>
      <c r="C19" s="1695">
        <f>SUM(C20:C26)</f>
        <v>871681</v>
      </c>
      <c r="D19" s="1695">
        <f>SUM(D20:D26)</f>
        <v>0</v>
      </c>
      <c r="E19" s="1712">
        <f t="shared" ref="E19:E103" si="1">C19+D19</f>
        <v>871681</v>
      </c>
      <c r="F19" s="25"/>
    </row>
    <row r="20" spans="1:6" ht="25.5">
      <c r="A20" s="1716" t="s">
        <v>716</v>
      </c>
      <c r="B20" s="1700" t="s">
        <v>717</v>
      </c>
      <c r="C20" s="1701">
        <v>602081</v>
      </c>
      <c r="D20" s="1701"/>
      <c r="E20" s="1717">
        <f t="shared" si="1"/>
        <v>602081</v>
      </c>
      <c r="F20" s="646"/>
    </row>
    <row r="21" spans="1:6" ht="25.5">
      <c r="A21" s="1716" t="s">
        <v>718</v>
      </c>
      <c r="B21" s="1700" t="s">
        <v>719</v>
      </c>
      <c r="C21" s="1701"/>
      <c r="D21" s="1701"/>
      <c r="E21" s="1717">
        <f t="shared" si="1"/>
        <v>0</v>
      </c>
      <c r="F21" s="646"/>
    </row>
    <row r="22" spans="1:6" ht="25.5">
      <c r="A22" s="1716" t="s">
        <v>1840</v>
      </c>
      <c r="B22" s="1700" t="s">
        <v>720</v>
      </c>
      <c r="C22" s="1701"/>
      <c r="D22" s="1701"/>
      <c r="E22" s="1717">
        <f t="shared" si="1"/>
        <v>0</v>
      </c>
      <c r="F22" s="646"/>
    </row>
    <row r="23" spans="1:6" ht="25.5">
      <c r="A23" s="1716" t="s">
        <v>1843</v>
      </c>
      <c r="B23" s="1700" t="s">
        <v>1841</v>
      </c>
      <c r="C23" s="1701"/>
      <c r="D23" s="1701"/>
      <c r="E23" s="1717">
        <f t="shared" si="1"/>
        <v>0</v>
      </c>
      <c r="F23" s="646"/>
    </row>
    <row r="24" spans="1:6" ht="25.5">
      <c r="A24" s="1716" t="s">
        <v>721</v>
      </c>
      <c r="B24" s="1700" t="s">
        <v>1842</v>
      </c>
      <c r="C24" s="1701"/>
      <c r="D24" s="1701"/>
      <c r="E24" s="1717">
        <f t="shared" si="1"/>
        <v>0</v>
      </c>
      <c r="F24" s="646"/>
    </row>
    <row r="25" spans="1:6" ht="51">
      <c r="A25" s="2574" t="s">
        <v>1477</v>
      </c>
      <c r="B25" s="2575" t="s">
        <v>723</v>
      </c>
      <c r="C25" s="2576"/>
      <c r="D25" s="1701"/>
      <c r="E25" s="1717">
        <f t="shared" si="1"/>
        <v>0</v>
      </c>
      <c r="F25" s="646"/>
    </row>
    <row r="26" spans="1:6" ht="24">
      <c r="A26" s="2679" t="s">
        <v>2483</v>
      </c>
      <c r="B26" s="2578" t="s">
        <v>2482</v>
      </c>
      <c r="C26" s="2576">
        <v>269600</v>
      </c>
      <c r="D26" s="2576"/>
      <c r="E26" s="2577">
        <f t="shared" si="1"/>
        <v>269600</v>
      </c>
      <c r="F26" s="646"/>
    </row>
    <row r="27" spans="1:6">
      <c r="A27" s="2579" t="s">
        <v>919</v>
      </c>
      <c r="B27" s="2580" t="s">
        <v>1790</v>
      </c>
      <c r="C27" s="2581">
        <f>+C28+C29</f>
        <v>9590</v>
      </c>
      <c r="D27" s="1702">
        <f>+D28+D29</f>
        <v>0</v>
      </c>
      <c r="E27" s="1718">
        <f t="shared" si="1"/>
        <v>9590</v>
      </c>
      <c r="F27" s="646"/>
    </row>
    <row r="28" spans="1:6" ht="25.5">
      <c r="A28" s="1719" t="s">
        <v>1789</v>
      </c>
      <c r="B28" s="1700" t="s">
        <v>1791</v>
      </c>
      <c r="C28" s="1701">
        <v>9590</v>
      </c>
      <c r="D28" s="1701"/>
      <c r="E28" s="1717">
        <f>C28+D28</f>
        <v>9590</v>
      </c>
      <c r="F28" s="646"/>
    </row>
    <row r="29" spans="1:6" ht="25.5">
      <c r="A29" s="1719" t="s">
        <v>721</v>
      </c>
      <c r="B29" s="1700" t="s">
        <v>1792</v>
      </c>
      <c r="C29" s="1701"/>
      <c r="D29" s="1701"/>
      <c r="E29" s="1717">
        <f>C29+D29</f>
        <v>0</v>
      </c>
      <c r="F29" s="646"/>
    </row>
    <row r="30" spans="1:6" ht="25.5">
      <c r="A30" s="1720" t="s">
        <v>1835</v>
      </c>
      <c r="B30" s="1696" t="s">
        <v>954</v>
      </c>
      <c r="C30" s="1703">
        <f>+C31</f>
        <v>4835048</v>
      </c>
      <c r="D30" s="1703"/>
      <c r="E30" s="1712">
        <f t="shared" si="1"/>
        <v>4835048</v>
      </c>
      <c r="F30" s="646"/>
    </row>
    <row r="31" spans="1:6" ht="25.5">
      <c r="A31" s="1719" t="s">
        <v>1835</v>
      </c>
      <c r="B31" s="1700" t="s">
        <v>1834</v>
      </c>
      <c r="C31" s="1701">
        <v>4835048</v>
      </c>
      <c r="D31" s="1701"/>
      <c r="E31" s="1717">
        <f t="shared" si="1"/>
        <v>4835048</v>
      </c>
      <c r="F31" s="646"/>
    </row>
    <row r="32" spans="1:6" ht="23.25" customHeight="1">
      <c r="A32" s="1711" t="s">
        <v>724</v>
      </c>
      <c r="B32" s="1696" t="s">
        <v>725</v>
      </c>
      <c r="C32" s="1695">
        <f>ROUND(C33+C39+C55+C41+C42+C43+C44+C45+C46+C47+C48+C49+C50+C51+C52+C53+C40+C54,1)</f>
        <v>95242734</v>
      </c>
      <c r="D32" s="1695">
        <f>ROUND(D33+D39+D55+D41+D42+D43+D44+D45+D46+D47+D48+D49+D50+D51+D52+D53+D40+D54,1)</f>
        <v>0</v>
      </c>
      <c r="E32" s="1718">
        <f t="shared" si="1"/>
        <v>95242734</v>
      </c>
      <c r="F32" s="25"/>
    </row>
    <row r="33" spans="1:6" ht="27" customHeight="1">
      <c r="A33" s="1711" t="s">
        <v>726</v>
      </c>
      <c r="B33" s="1704" t="s">
        <v>727</v>
      </c>
      <c r="C33" s="1695">
        <f>ROUND(C34+C35+C37+C36+C38,1)</f>
        <v>90097818</v>
      </c>
      <c r="D33" s="1695">
        <f>ROUND(D34+D35+D37+D36+D38,1)</f>
        <v>0</v>
      </c>
      <c r="E33" s="1712">
        <f t="shared" si="1"/>
        <v>90097818</v>
      </c>
      <c r="F33" s="25"/>
    </row>
    <row r="34" spans="1:6" ht="25.5" customHeight="1">
      <c r="A34" s="1716" t="s">
        <v>728</v>
      </c>
      <c r="B34" s="1705" t="s">
        <v>729</v>
      </c>
      <c r="C34" s="1701">
        <v>89598516</v>
      </c>
      <c r="D34" s="1701"/>
      <c r="E34" s="1717">
        <f t="shared" si="1"/>
        <v>89598516</v>
      </c>
      <c r="F34" s="646"/>
    </row>
    <row r="35" spans="1:6" ht="37.5" customHeight="1">
      <c r="A35" s="1716" t="s">
        <v>730</v>
      </c>
      <c r="B35" s="1705" t="s">
        <v>731</v>
      </c>
      <c r="C35" s="1701">
        <v>-397887</v>
      </c>
      <c r="D35" s="1701"/>
      <c r="E35" s="1717">
        <f t="shared" si="1"/>
        <v>-397887</v>
      </c>
      <c r="F35" s="646"/>
    </row>
    <row r="36" spans="1:6" ht="25.5">
      <c r="A36" s="1716" t="s">
        <v>1844</v>
      </c>
      <c r="B36" s="1705" t="s">
        <v>1845</v>
      </c>
      <c r="C36" s="1701"/>
      <c r="D36" s="1701"/>
      <c r="E36" s="1717">
        <f t="shared" si="1"/>
        <v>0</v>
      </c>
      <c r="F36" s="646"/>
    </row>
    <row r="37" spans="1:6" ht="18" customHeight="1">
      <c r="A37" s="1716" t="s">
        <v>732</v>
      </c>
      <c r="B37" s="1700" t="s">
        <v>733</v>
      </c>
      <c r="C37" s="1701">
        <v>897189</v>
      </c>
      <c r="D37" s="1701"/>
      <c r="E37" s="1717">
        <f t="shared" si="1"/>
        <v>897189</v>
      </c>
      <c r="F37" s="646"/>
    </row>
    <row r="38" spans="1:6" ht="18" customHeight="1">
      <c r="A38" s="1716" t="s">
        <v>2285</v>
      </c>
      <c r="B38" s="1700" t="s">
        <v>2284</v>
      </c>
      <c r="C38" s="1701"/>
      <c r="D38" s="1701"/>
      <c r="E38" s="1717">
        <f t="shared" si="1"/>
        <v>0</v>
      </c>
      <c r="F38" s="646"/>
    </row>
    <row r="39" spans="1:6" ht="18" customHeight="1">
      <c r="A39" s="1716" t="s">
        <v>2032</v>
      </c>
      <c r="B39" s="1700" t="s">
        <v>2033</v>
      </c>
      <c r="C39" s="1701"/>
      <c r="D39" s="1701"/>
      <c r="E39" s="1717">
        <f t="shared" si="1"/>
        <v>0</v>
      </c>
      <c r="F39" s="646"/>
    </row>
    <row r="40" spans="1:6" ht="24">
      <c r="A40" s="1721" t="s">
        <v>1847</v>
      </c>
      <c r="B40" s="1706" t="s">
        <v>1846</v>
      </c>
      <c r="C40" s="1701"/>
      <c r="D40" s="1701"/>
      <c r="E40" s="1717">
        <f t="shared" si="1"/>
        <v>0</v>
      </c>
      <c r="F40" s="646"/>
    </row>
    <row r="41" spans="1:6" ht="39" customHeight="1">
      <c r="A41" s="3628" t="s">
        <v>734</v>
      </c>
      <c r="B41" s="3803" t="s">
        <v>735</v>
      </c>
      <c r="C41" s="3804">
        <v>3904</v>
      </c>
      <c r="D41" s="3804"/>
      <c r="E41" s="3805">
        <f t="shared" si="1"/>
        <v>3904</v>
      </c>
      <c r="F41" s="646"/>
    </row>
    <row r="42" spans="1:6" ht="54" customHeight="1">
      <c r="A42" s="3626" t="s">
        <v>736</v>
      </c>
      <c r="B42" s="3800" t="s">
        <v>737</v>
      </c>
      <c r="C42" s="3801">
        <v>1</v>
      </c>
      <c r="D42" s="3801"/>
      <c r="E42" s="3802">
        <f t="shared" si="1"/>
        <v>1</v>
      </c>
      <c r="F42" s="646"/>
    </row>
    <row r="43" spans="1:6" ht="39.75" customHeight="1">
      <c r="A43" s="1716" t="s">
        <v>738</v>
      </c>
      <c r="B43" s="1700" t="s">
        <v>739</v>
      </c>
      <c r="C43" s="1701"/>
      <c r="D43" s="1701"/>
      <c r="E43" s="1717">
        <f t="shared" si="1"/>
        <v>0</v>
      </c>
      <c r="F43" s="646"/>
    </row>
    <row r="44" spans="1:6" ht="51" customHeight="1">
      <c r="A44" s="1716" t="s">
        <v>740</v>
      </c>
      <c r="B44" s="1700" t="s">
        <v>741</v>
      </c>
      <c r="C44" s="1701"/>
      <c r="D44" s="1701"/>
      <c r="E44" s="1717">
        <f t="shared" si="1"/>
        <v>0</v>
      </c>
      <c r="F44" s="646"/>
    </row>
    <row r="45" spans="1:6" ht="41.25" customHeight="1">
      <c r="A45" s="1716" t="s">
        <v>742</v>
      </c>
      <c r="B45" s="1700" t="s">
        <v>743</v>
      </c>
      <c r="C45" s="1701"/>
      <c r="D45" s="1701"/>
      <c r="E45" s="1717">
        <f t="shared" si="1"/>
        <v>0</v>
      </c>
      <c r="F45" s="646"/>
    </row>
    <row r="46" spans="1:6" ht="38.25">
      <c r="A46" s="1716" t="s">
        <v>744</v>
      </c>
      <c r="B46" s="1700" t="s">
        <v>745</v>
      </c>
      <c r="C46" s="1701"/>
      <c r="D46" s="1701"/>
      <c r="E46" s="1717">
        <f t="shared" si="1"/>
        <v>0</v>
      </c>
      <c r="F46" s="646"/>
    </row>
    <row r="47" spans="1:6" ht="38.25">
      <c r="A47" s="1716" t="s">
        <v>746</v>
      </c>
      <c r="B47" s="1700" t="s">
        <v>747</v>
      </c>
      <c r="C47" s="1701">
        <v>5619</v>
      </c>
      <c r="D47" s="1701"/>
      <c r="E47" s="1717">
        <f t="shared" si="1"/>
        <v>5619</v>
      </c>
      <c r="F47" s="646"/>
    </row>
    <row r="48" spans="1:6" ht="25.5">
      <c r="A48" s="1716" t="s">
        <v>748</v>
      </c>
      <c r="B48" s="1700" t="s">
        <v>749</v>
      </c>
      <c r="C48" s="1701">
        <v>-772</v>
      </c>
      <c r="D48" s="1701"/>
      <c r="E48" s="1717">
        <f t="shared" si="1"/>
        <v>-772</v>
      </c>
      <c r="F48" s="646"/>
    </row>
    <row r="49" spans="1:6" ht="18" customHeight="1">
      <c r="A49" s="1716" t="s">
        <v>750</v>
      </c>
      <c r="B49" s="1700" t="s">
        <v>751</v>
      </c>
      <c r="C49" s="1701">
        <v>54349</v>
      </c>
      <c r="D49" s="1701"/>
      <c r="E49" s="1717">
        <f t="shared" si="1"/>
        <v>54349</v>
      </c>
      <c r="F49" s="646"/>
    </row>
    <row r="50" spans="1:6" ht="18" customHeight="1">
      <c r="A50" s="1716" t="s">
        <v>1799</v>
      </c>
      <c r="B50" s="1700" t="s">
        <v>1800</v>
      </c>
      <c r="C50" s="1701">
        <v>62281</v>
      </c>
      <c r="D50" s="1701"/>
      <c r="E50" s="1717">
        <f t="shared" si="1"/>
        <v>62281</v>
      </c>
      <c r="F50" s="646"/>
    </row>
    <row r="51" spans="1:6" ht="38.25">
      <c r="A51" s="1716" t="s">
        <v>1806</v>
      </c>
      <c r="B51" s="1700" t="s">
        <v>1807</v>
      </c>
      <c r="C51" s="1701"/>
      <c r="D51" s="1701"/>
      <c r="E51" s="1717">
        <f t="shared" si="1"/>
        <v>0</v>
      </c>
      <c r="F51" s="646"/>
    </row>
    <row r="52" spans="1:6" ht="18" customHeight="1">
      <c r="A52" s="1716" t="s">
        <v>1839</v>
      </c>
      <c r="B52" s="1700" t="s">
        <v>2034</v>
      </c>
      <c r="C52" s="1701"/>
      <c r="D52" s="1701"/>
      <c r="E52" s="1717">
        <f t="shared" si="1"/>
        <v>0</v>
      </c>
      <c r="F52" s="646"/>
    </row>
    <row r="53" spans="1:6" ht="38.25">
      <c r="A53" s="1716" t="s">
        <v>2035</v>
      </c>
      <c r="B53" s="1700" t="s">
        <v>2036</v>
      </c>
      <c r="C53" s="1701">
        <v>3900</v>
      </c>
      <c r="D53" s="1701"/>
      <c r="E53" s="1717">
        <f t="shared" si="1"/>
        <v>3900</v>
      </c>
      <c r="F53" s="646"/>
    </row>
    <row r="54" spans="1:6" ht="25.5">
      <c r="A54" s="1716" t="s">
        <v>2051</v>
      </c>
      <c r="B54" s="1700" t="s">
        <v>2050</v>
      </c>
      <c r="C54" s="1701">
        <v>5015634</v>
      </c>
      <c r="D54" s="1701"/>
      <c r="E54" s="1717">
        <f t="shared" si="1"/>
        <v>5015634</v>
      </c>
      <c r="F54" s="646"/>
    </row>
    <row r="55" spans="1:6" ht="18" customHeight="1">
      <c r="A55" s="1716" t="s">
        <v>752</v>
      </c>
      <c r="B55" s="1700" t="s">
        <v>753</v>
      </c>
      <c r="C55" s="1701"/>
      <c r="D55" s="1701"/>
      <c r="E55" s="1717">
        <f t="shared" si="1"/>
        <v>0</v>
      </c>
      <c r="F55" s="646"/>
    </row>
    <row r="56" spans="1:6" ht="18" customHeight="1">
      <c r="A56" s="1711" t="s">
        <v>754</v>
      </c>
      <c r="B56" s="1696" t="s">
        <v>755</v>
      </c>
      <c r="C56" s="1695">
        <f>ROUND(C57+C62,1)</f>
        <v>621782</v>
      </c>
      <c r="D56" s="1695">
        <f>ROUND(D57+D62,1)</f>
        <v>0</v>
      </c>
      <c r="E56" s="1718">
        <f t="shared" si="1"/>
        <v>621782</v>
      </c>
      <c r="F56" s="646"/>
    </row>
    <row r="57" spans="1:6" ht="18" customHeight="1">
      <c r="A57" s="1711" t="s">
        <v>756</v>
      </c>
      <c r="B57" s="1696" t="s">
        <v>1478</v>
      </c>
      <c r="C57" s="1695">
        <f>ROUND(+C58+C60,1)</f>
        <v>0</v>
      </c>
      <c r="D57" s="1695">
        <f>ROUND(+D58+D60,1)</f>
        <v>0</v>
      </c>
      <c r="E57" s="1718">
        <f t="shared" si="1"/>
        <v>0</v>
      </c>
    </row>
    <row r="58" spans="1:6" ht="18" customHeight="1">
      <c r="A58" s="1711" t="s">
        <v>758</v>
      </c>
      <c r="B58" s="1700" t="s">
        <v>759</v>
      </c>
      <c r="C58" s="1695">
        <f>C59</f>
        <v>0</v>
      </c>
      <c r="D58" s="1695">
        <f>D59</f>
        <v>0</v>
      </c>
      <c r="E58" s="1712">
        <f t="shared" si="1"/>
        <v>0</v>
      </c>
      <c r="F58" s="646"/>
    </row>
    <row r="59" spans="1:6" ht="18" customHeight="1">
      <c r="A59" s="1716" t="s">
        <v>760</v>
      </c>
      <c r="B59" s="1700" t="s">
        <v>761</v>
      </c>
      <c r="C59" s="1701"/>
      <c r="D59" s="1701"/>
      <c r="E59" s="1717">
        <f t="shared" si="1"/>
        <v>0</v>
      </c>
      <c r="F59" s="25"/>
    </row>
    <row r="60" spans="1:6" ht="18" customHeight="1">
      <c r="A60" s="1711" t="s">
        <v>762</v>
      </c>
      <c r="B60" s="1696" t="s">
        <v>763</v>
      </c>
      <c r="C60" s="1695">
        <f>ROUND(+C61,1)</f>
        <v>0</v>
      </c>
      <c r="D60" s="1695">
        <f>ROUND(+D61,1)</f>
        <v>0</v>
      </c>
      <c r="E60" s="1712">
        <f t="shared" si="1"/>
        <v>0</v>
      </c>
    </row>
    <row r="61" spans="1:6" ht="18" customHeight="1">
      <c r="A61" s="1716" t="s">
        <v>764</v>
      </c>
      <c r="B61" s="1700" t="s">
        <v>765</v>
      </c>
      <c r="C61" s="1701"/>
      <c r="D61" s="1701"/>
      <c r="E61" s="1717">
        <f t="shared" si="1"/>
        <v>0</v>
      </c>
      <c r="F61" s="25"/>
    </row>
    <row r="62" spans="1:6" ht="18" customHeight="1">
      <c r="A62" s="1722" t="s">
        <v>766</v>
      </c>
      <c r="B62" s="1699" t="s">
        <v>757</v>
      </c>
      <c r="C62" s="1695">
        <f>ROUND(C63+C67,1)</f>
        <v>621782</v>
      </c>
      <c r="D62" s="1695">
        <f>ROUND(D63+D67,1)</f>
        <v>0</v>
      </c>
      <c r="E62" s="1712">
        <f t="shared" si="1"/>
        <v>621782</v>
      </c>
      <c r="F62" s="646"/>
    </row>
    <row r="63" spans="1:6" ht="18" customHeight="1">
      <c r="A63" s="1711" t="s">
        <v>768</v>
      </c>
      <c r="B63" s="1696" t="s">
        <v>769</v>
      </c>
      <c r="C63" s="1695">
        <f>C66+C65+C64</f>
        <v>621782</v>
      </c>
      <c r="D63" s="1695">
        <f>D66+D65+D64</f>
        <v>0</v>
      </c>
      <c r="E63" s="1712">
        <f t="shared" si="1"/>
        <v>621782</v>
      </c>
    </row>
    <row r="64" spans="1:6" ht="18" customHeight="1">
      <c r="A64" s="2794" t="s">
        <v>2496</v>
      </c>
      <c r="B64" s="2795">
        <v>360101</v>
      </c>
      <c r="C64" s="2796">
        <v>546188</v>
      </c>
      <c r="D64" s="2796"/>
      <c r="E64" s="2797">
        <f t="shared" si="1"/>
        <v>546188</v>
      </c>
    </row>
    <row r="65" spans="1:6" ht="18" customHeight="1">
      <c r="A65" s="1716" t="s">
        <v>770</v>
      </c>
      <c r="B65" s="1700" t="s">
        <v>771</v>
      </c>
      <c r="C65" s="1701">
        <v>-510</v>
      </c>
      <c r="D65" s="1701"/>
      <c r="E65" s="1717">
        <f t="shared" si="1"/>
        <v>-510</v>
      </c>
    </row>
    <row r="66" spans="1:6" ht="18" customHeight="1">
      <c r="A66" s="1716" t="s">
        <v>772</v>
      </c>
      <c r="B66" s="1700" t="s">
        <v>773</v>
      </c>
      <c r="C66" s="1701">
        <v>76104</v>
      </c>
      <c r="D66" s="1701"/>
      <c r="E66" s="1717">
        <f t="shared" si="1"/>
        <v>76104</v>
      </c>
      <c r="F66" s="25"/>
    </row>
    <row r="67" spans="1:6" ht="24" customHeight="1">
      <c r="A67" s="1711" t="s">
        <v>774</v>
      </c>
      <c r="B67" s="1696" t="s">
        <v>775</v>
      </c>
      <c r="C67" s="1695">
        <f>ROUND(C68,1)</f>
        <v>0</v>
      </c>
      <c r="D67" s="1695">
        <f>ROUND(D68,1)</f>
        <v>0</v>
      </c>
      <c r="E67" s="1712">
        <f t="shared" si="1"/>
        <v>0</v>
      </c>
    </row>
    <row r="68" spans="1:6" ht="18" customHeight="1">
      <c r="A68" s="1716" t="s">
        <v>776</v>
      </c>
      <c r="B68" s="1700" t="s">
        <v>777</v>
      </c>
      <c r="C68" s="1701"/>
      <c r="D68" s="1701"/>
      <c r="E68" s="1717">
        <f t="shared" si="1"/>
        <v>0</v>
      </c>
      <c r="F68" s="25"/>
    </row>
    <row r="69" spans="1:6" ht="16.5" customHeight="1">
      <c r="A69" s="1711" t="s">
        <v>778</v>
      </c>
      <c r="B69" s="1696" t="s">
        <v>779</v>
      </c>
      <c r="C69" s="1695">
        <f>ROUND(+C70,1)</f>
        <v>27690565</v>
      </c>
      <c r="D69" s="1695">
        <f>ROUND(+D70,1)</f>
        <v>0</v>
      </c>
      <c r="E69" s="1712">
        <f t="shared" si="1"/>
        <v>27690565</v>
      </c>
      <c r="F69" s="646"/>
    </row>
    <row r="70" spans="1:6" ht="25.5">
      <c r="A70" s="1711" t="s">
        <v>780</v>
      </c>
      <c r="B70" s="1696" t="s">
        <v>779</v>
      </c>
      <c r="C70" s="1695">
        <f>ROUND(+C71+C83,1)</f>
        <v>27690565</v>
      </c>
      <c r="D70" s="1695">
        <f>ROUND(+D71+D83,1)</f>
        <v>0</v>
      </c>
      <c r="E70" s="1712">
        <f t="shared" si="1"/>
        <v>27690565</v>
      </c>
      <c r="F70" s="646"/>
    </row>
    <row r="71" spans="1:6" ht="18">
      <c r="A71" s="1711" t="s">
        <v>781</v>
      </c>
      <c r="B71" s="1696" t="s">
        <v>782</v>
      </c>
      <c r="C71" s="1695">
        <f>ROUND(C72+C73+C74+C75+C76+C77+C78+C79+C80+C81+C82,1)</f>
        <v>27690571</v>
      </c>
      <c r="D71" s="1695">
        <f>ROUND(D72+D73+D74+D75+D76+D77+D78+D79+D80+D81+D82,1)</f>
        <v>0</v>
      </c>
      <c r="E71" s="1712">
        <f t="shared" si="1"/>
        <v>27690571</v>
      </c>
      <c r="F71" s="25"/>
    </row>
    <row r="72" spans="1:6" ht="26.25" customHeight="1">
      <c r="A72" s="1716" t="s">
        <v>783</v>
      </c>
      <c r="B72" s="1700" t="s">
        <v>784</v>
      </c>
      <c r="C72" s="1701"/>
      <c r="D72" s="1701"/>
      <c r="E72" s="1717">
        <f t="shared" si="1"/>
        <v>0</v>
      </c>
      <c r="F72" s="646"/>
    </row>
    <row r="73" spans="1:6" ht="28.5" customHeight="1">
      <c r="A73" s="1723" t="s">
        <v>54</v>
      </c>
      <c r="B73" s="1700" t="s">
        <v>35</v>
      </c>
      <c r="C73" s="1701">
        <v>-9</v>
      </c>
      <c r="D73" s="1701"/>
      <c r="E73" s="1717">
        <f t="shared" si="1"/>
        <v>-9</v>
      </c>
      <c r="F73" s="646"/>
    </row>
    <row r="74" spans="1:6" ht="24.75" customHeight="1">
      <c r="A74" s="1723" t="s">
        <v>36</v>
      </c>
      <c r="B74" s="1700" t="s">
        <v>37</v>
      </c>
      <c r="C74" s="1701">
        <v>20507890</v>
      </c>
      <c r="D74" s="1701"/>
      <c r="E74" s="1717">
        <f t="shared" si="1"/>
        <v>20507890</v>
      </c>
      <c r="F74" s="646"/>
    </row>
    <row r="75" spans="1:6" ht="27" customHeight="1">
      <c r="A75" s="1724" t="s">
        <v>38</v>
      </c>
      <c r="B75" s="1700" t="s">
        <v>39</v>
      </c>
      <c r="C75" s="1701"/>
      <c r="D75" s="1701"/>
      <c r="E75" s="1717">
        <f t="shared" si="1"/>
        <v>0</v>
      </c>
      <c r="F75" s="646"/>
    </row>
    <row r="76" spans="1:6" ht="25.5" customHeight="1">
      <c r="A76" s="1724" t="s">
        <v>40</v>
      </c>
      <c r="B76" s="1700" t="s">
        <v>41</v>
      </c>
      <c r="C76" s="1701"/>
      <c r="D76" s="1701"/>
      <c r="E76" s="1717">
        <f t="shared" si="1"/>
        <v>0</v>
      </c>
      <c r="F76" s="646"/>
    </row>
    <row r="77" spans="1:6" ht="23.25" customHeight="1">
      <c r="A77" s="1724" t="s">
        <v>42</v>
      </c>
      <c r="B77" s="1700" t="s">
        <v>43</v>
      </c>
      <c r="C77" s="1701"/>
      <c r="D77" s="1701"/>
      <c r="E77" s="1717">
        <f t="shared" si="1"/>
        <v>0</v>
      </c>
      <c r="F77" s="646"/>
    </row>
    <row r="78" spans="1:6" ht="24" customHeight="1">
      <c r="A78" s="1724" t="s">
        <v>44</v>
      </c>
      <c r="B78" s="1700" t="s">
        <v>45</v>
      </c>
      <c r="C78" s="1701"/>
      <c r="D78" s="1701"/>
      <c r="E78" s="1717">
        <f>C78+D78</f>
        <v>0</v>
      </c>
      <c r="F78" s="646"/>
    </row>
    <row r="79" spans="1:6" ht="48.75" customHeight="1">
      <c r="A79" s="1724" t="s">
        <v>46</v>
      </c>
      <c r="B79" s="1700" t="s">
        <v>47</v>
      </c>
      <c r="C79" s="1701"/>
      <c r="D79" s="1701"/>
      <c r="E79" s="1717">
        <f t="shared" si="1"/>
        <v>0</v>
      </c>
      <c r="F79" s="646"/>
    </row>
    <row r="80" spans="1:6" ht="29.25" customHeight="1">
      <c r="A80" s="1724" t="s">
        <v>48</v>
      </c>
      <c r="B80" s="1700" t="s">
        <v>49</v>
      </c>
      <c r="C80" s="1701">
        <v>3738320</v>
      </c>
      <c r="D80" s="1701"/>
      <c r="E80" s="1717">
        <f t="shared" si="1"/>
        <v>3738320</v>
      </c>
      <c r="F80" s="646"/>
    </row>
    <row r="81" spans="1:6" ht="38.25">
      <c r="A81" s="1724" t="s">
        <v>50</v>
      </c>
      <c r="B81" s="1700" t="s">
        <v>51</v>
      </c>
      <c r="C81" s="1701"/>
      <c r="D81" s="1701"/>
      <c r="E81" s="1717">
        <f t="shared" si="1"/>
        <v>0</v>
      </c>
      <c r="F81" s="646"/>
    </row>
    <row r="82" spans="1:6" ht="51">
      <c r="A82" s="1724" t="s">
        <v>1819</v>
      </c>
      <c r="B82" s="1700" t="s">
        <v>1818</v>
      </c>
      <c r="C82" s="1701">
        <v>3444370</v>
      </c>
      <c r="D82" s="1701"/>
      <c r="E82" s="1717">
        <f t="shared" si="1"/>
        <v>3444370</v>
      </c>
      <c r="F82" s="646"/>
    </row>
    <row r="83" spans="1:6" ht="16.5" customHeight="1">
      <c r="A83" s="1711" t="s">
        <v>52</v>
      </c>
      <c r="B83" s="1696" t="s">
        <v>53</v>
      </c>
      <c r="C83" s="1695">
        <f>ROUND(+C84+C85+C86+C87+C88+C89+C90+C91,1)</f>
        <v>-6</v>
      </c>
      <c r="D83" s="1695">
        <f>ROUND(+D84+D85+D86+D87+D88+D89+D90+D91,1)</f>
        <v>0</v>
      </c>
      <c r="E83" s="1712">
        <f t="shared" si="1"/>
        <v>-6</v>
      </c>
      <c r="F83" s="25"/>
    </row>
    <row r="84" spans="1:6" ht="26.25" customHeight="1">
      <c r="A84" s="1723" t="s">
        <v>54</v>
      </c>
      <c r="B84" s="1700" t="s">
        <v>55</v>
      </c>
      <c r="C84" s="1701"/>
      <c r="D84" s="1701"/>
      <c r="E84" s="1717">
        <f t="shared" si="1"/>
        <v>0</v>
      </c>
      <c r="F84" s="646"/>
    </row>
    <row r="85" spans="1:6" ht="24" customHeight="1">
      <c r="A85" s="1724" t="s">
        <v>38</v>
      </c>
      <c r="B85" s="1700" t="s">
        <v>56</v>
      </c>
      <c r="C85" s="1701"/>
      <c r="D85" s="1701"/>
      <c r="E85" s="1717">
        <f t="shared" si="1"/>
        <v>0</v>
      </c>
      <c r="F85" s="646"/>
    </row>
    <row r="86" spans="1:6" ht="36.75" customHeight="1">
      <c r="A86" s="1716" t="s">
        <v>57</v>
      </c>
      <c r="B86" s="1700" t="s">
        <v>58</v>
      </c>
      <c r="C86" s="1701"/>
      <c r="D86" s="1701"/>
      <c r="E86" s="1717">
        <f t="shared" si="1"/>
        <v>0</v>
      </c>
      <c r="F86" s="646"/>
    </row>
    <row r="87" spans="1:6" ht="38.25">
      <c r="A87" s="1716" t="s">
        <v>59</v>
      </c>
      <c r="B87" s="1700" t="s">
        <v>60</v>
      </c>
      <c r="C87" s="1701">
        <v>-6</v>
      </c>
      <c r="D87" s="1701"/>
      <c r="E87" s="1717">
        <f t="shared" si="1"/>
        <v>-6</v>
      </c>
      <c r="F87" s="646"/>
    </row>
    <row r="88" spans="1:6" ht="25.5">
      <c r="A88" s="1716" t="s">
        <v>61</v>
      </c>
      <c r="B88" s="1700" t="s">
        <v>62</v>
      </c>
      <c r="C88" s="1701"/>
      <c r="D88" s="1701"/>
      <c r="E88" s="1717">
        <f t="shared" si="1"/>
        <v>0</v>
      </c>
      <c r="F88" s="646"/>
    </row>
    <row r="89" spans="1:6" ht="24" customHeight="1">
      <c r="A89" s="1716" t="s">
        <v>63</v>
      </c>
      <c r="B89" s="1700" t="s">
        <v>64</v>
      </c>
      <c r="C89" s="1701"/>
      <c r="D89" s="1701"/>
      <c r="E89" s="1717">
        <f t="shared" si="1"/>
        <v>0</v>
      </c>
      <c r="F89" s="646"/>
    </row>
    <row r="90" spans="1:6" s="48" customFormat="1" ht="64.5" customHeight="1">
      <c r="A90" s="1725" t="s">
        <v>1479</v>
      </c>
      <c r="B90" s="1707" t="s">
        <v>66</v>
      </c>
      <c r="C90" s="1708"/>
      <c r="D90" s="1708"/>
      <c r="E90" s="1726">
        <f t="shared" si="1"/>
        <v>0</v>
      </c>
      <c r="F90" s="646"/>
    </row>
    <row r="91" spans="1:6" s="48" customFormat="1" ht="44.25" customHeight="1">
      <c r="A91" s="1725" t="s">
        <v>67</v>
      </c>
      <c r="B91" s="1707" t="s">
        <v>68</v>
      </c>
      <c r="C91" s="1708"/>
      <c r="D91" s="1708"/>
      <c r="E91" s="1726">
        <f t="shared" si="1"/>
        <v>0</v>
      </c>
      <c r="F91" s="646"/>
    </row>
    <row r="92" spans="1:6" s="48" customFormat="1" ht="24">
      <c r="A92" s="1727" t="s">
        <v>69</v>
      </c>
      <c r="B92" s="1709" t="s">
        <v>70</v>
      </c>
      <c r="C92" s="1710">
        <f>C93+C96</f>
        <v>0</v>
      </c>
      <c r="D92" s="1710">
        <f>D93+D96</f>
        <v>0</v>
      </c>
      <c r="E92" s="1728">
        <f t="shared" si="1"/>
        <v>0</v>
      </c>
      <c r="F92" s="25"/>
    </row>
    <row r="93" spans="1:6" s="744" customFormat="1" ht="18" customHeight="1">
      <c r="A93" s="3806" t="s">
        <v>71</v>
      </c>
      <c r="B93" s="3807" t="s">
        <v>72</v>
      </c>
      <c r="C93" s="3808">
        <f>C94+C95</f>
        <v>0</v>
      </c>
      <c r="D93" s="3808">
        <f>D94+D95</f>
        <v>0</v>
      </c>
      <c r="E93" s="3809">
        <f t="shared" si="1"/>
        <v>0</v>
      </c>
      <c r="F93" s="3810"/>
    </row>
    <row r="94" spans="1:6" s="744" customFormat="1" ht="18" customHeight="1">
      <c r="A94" s="3811" t="s">
        <v>73</v>
      </c>
      <c r="B94" s="1707" t="s">
        <v>74</v>
      </c>
      <c r="C94" s="3812"/>
      <c r="D94" s="3812"/>
      <c r="E94" s="3813">
        <f t="shared" si="1"/>
        <v>0</v>
      </c>
      <c r="F94" s="3810"/>
    </row>
    <row r="95" spans="1:6" s="744" customFormat="1" ht="18" customHeight="1">
      <c r="A95" s="3811" t="s">
        <v>75</v>
      </c>
      <c r="B95" s="1707" t="s">
        <v>76</v>
      </c>
      <c r="C95" s="3812"/>
      <c r="D95" s="3812"/>
      <c r="E95" s="3813">
        <f t="shared" si="1"/>
        <v>0</v>
      </c>
      <c r="F95" s="3810"/>
    </row>
    <row r="96" spans="1:6" s="744" customFormat="1" ht="18" customHeight="1">
      <c r="A96" s="3806" t="s">
        <v>77</v>
      </c>
      <c r="B96" s="3807" t="s">
        <v>78</v>
      </c>
      <c r="C96" s="3808">
        <f>C97+C98</f>
        <v>0</v>
      </c>
      <c r="D96" s="3808">
        <f>D97+D98</f>
        <v>0</v>
      </c>
      <c r="E96" s="3809">
        <f t="shared" si="1"/>
        <v>0</v>
      </c>
      <c r="F96" s="3810"/>
    </row>
    <row r="97" spans="1:6" s="744" customFormat="1" ht="18" customHeight="1">
      <c r="A97" s="3811" t="s">
        <v>73</v>
      </c>
      <c r="B97" s="1707" t="s">
        <v>79</v>
      </c>
      <c r="C97" s="3812">
        <v>0</v>
      </c>
      <c r="D97" s="3812"/>
      <c r="E97" s="3813">
        <f t="shared" si="1"/>
        <v>0</v>
      </c>
      <c r="F97" s="3810"/>
    </row>
    <row r="98" spans="1:6" s="744" customFormat="1" ht="18" customHeight="1">
      <c r="A98" s="3811" t="s">
        <v>75</v>
      </c>
      <c r="B98" s="1707" t="s">
        <v>80</v>
      </c>
      <c r="C98" s="3812"/>
      <c r="D98" s="3812"/>
      <c r="E98" s="3813">
        <f t="shared" si="1"/>
        <v>0</v>
      </c>
      <c r="F98" s="3810"/>
    </row>
    <row r="99" spans="1:6" s="48" customFormat="1" ht="24">
      <c r="A99" s="1730" t="s">
        <v>2040</v>
      </c>
      <c r="B99" s="967" t="s">
        <v>2041</v>
      </c>
      <c r="C99" s="1708">
        <v>-1096770</v>
      </c>
      <c r="D99" s="1708"/>
      <c r="E99" s="1726">
        <f t="shared" si="1"/>
        <v>-1096770</v>
      </c>
      <c r="F99" s="646"/>
    </row>
    <row r="100" spans="1:6" s="48" customFormat="1" ht="36">
      <c r="A100" s="1729" t="s">
        <v>81</v>
      </c>
      <c r="B100" s="1709" t="s">
        <v>82</v>
      </c>
      <c r="C100" s="1710">
        <f>C101</f>
        <v>0</v>
      </c>
      <c r="D100" s="1710">
        <f>D101</f>
        <v>0</v>
      </c>
      <c r="E100" s="1726">
        <f t="shared" si="1"/>
        <v>0</v>
      </c>
      <c r="F100" s="646"/>
    </row>
    <row r="101" spans="1:6" s="48" customFormat="1" ht="36">
      <c r="A101" s="1919" t="s">
        <v>81</v>
      </c>
      <c r="B101" s="964">
        <v>48</v>
      </c>
      <c r="C101" s="1710">
        <f>C102+C105</f>
        <v>0</v>
      </c>
      <c r="D101" s="1710">
        <f>D102+D105</f>
        <v>0</v>
      </c>
      <c r="E101" s="1726">
        <f>E102+E105</f>
        <v>0</v>
      </c>
      <c r="F101" s="646"/>
    </row>
    <row r="102" spans="1:6" s="48" customFormat="1">
      <c r="A102" s="1730" t="s">
        <v>77</v>
      </c>
      <c r="B102" s="967" t="s">
        <v>2133</v>
      </c>
      <c r="C102" s="1708">
        <f>C103+C104</f>
        <v>0</v>
      </c>
      <c r="D102" s="1708">
        <f>D103+D104</f>
        <v>0</v>
      </c>
      <c r="E102" s="1726">
        <f t="shared" si="1"/>
        <v>0</v>
      </c>
      <c r="F102" s="646"/>
    </row>
    <row r="103" spans="1:6" s="48" customFormat="1">
      <c r="A103" s="1730" t="s">
        <v>73</v>
      </c>
      <c r="B103" s="967" t="s">
        <v>2134</v>
      </c>
      <c r="C103" s="1708"/>
      <c r="D103" s="1708"/>
      <c r="E103" s="1726">
        <f t="shared" si="1"/>
        <v>0</v>
      </c>
      <c r="F103" s="646"/>
    </row>
    <row r="104" spans="1:6" s="48" customFormat="1">
      <c r="A104" s="1730" t="s">
        <v>75</v>
      </c>
      <c r="B104" s="967" t="s">
        <v>2135</v>
      </c>
      <c r="C104" s="1708"/>
      <c r="D104" s="1708"/>
      <c r="E104" s="1726">
        <f t="shared" ref="E104:E107" si="2">C104+D104</f>
        <v>0</v>
      </c>
      <c r="F104" s="646"/>
    </row>
    <row r="105" spans="1:6" s="48" customFormat="1" ht="24">
      <c r="A105" s="1730" t="s">
        <v>2323</v>
      </c>
      <c r="B105" s="967" t="s">
        <v>2324</v>
      </c>
      <c r="C105" s="1708">
        <f>C106+C107</f>
        <v>0</v>
      </c>
      <c r="D105" s="1708">
        <f>D106+D107</f>
        <v>0</v>
      </c>
      <c r="E105" s="1726">
        <f t="shared" si="2"/>
        <v>0</v>
      </c>
      <c r="F105" s="646"/>
    </row>
    <row r="106" spans="1:6" s="48" customFormat="1">
      <c r="A106" s="1730" t="s">
        <v>73</v>
      </c>
      <c r="B106" s="967" t="s">
        <v>2325</v>
      </c>
      <c r="C106" s="1708"/>
      <c r="D106" s="1708"/>
      <c r="E106" s="1726">
        <f t="shared" si="2"/>
        <v>0</v>
      </c>
      <c r="F106" s="646"/>
    </row>
    <row r="107" spans="1:6" s="48" customFormat="1">
      <c r="A107" s="1731" t="s">
        <v>75</v>
      </c>
      <c r="B107" s="1732" t="s">
        <v>2326</v>
      </c>
      <c r="C107" s="1733"/>
      <c r="D107" s="1733"/>
      <c r="E107" s="1734">
        <f t="shared" si="2"/>
        <v>0</v>
      </c>
      <c r="F107" s="646"/>
    </row>
    <row r="108" spans="1:6" s="48" customFormat="1" ht="13.9" customHeight="1">
      <c r="A108" s="647"/>
      <c r="B108" s="648"/>
      <c r="C108" s="649"/>
      <c r="D108" s="649"/>
      <c r="E108" s="650"/>
      <c r="F108" s="646"/>
    </row>
    <row r="109" spans="1:6" s="48" customFormat="1" ht="15.75" customHeight="1">
      <c r="A109" s="37" t="str">
        <f>'ANEXA 1'!B94</f>
        <v>DIRECTOR  GENERAL,</v>
      </c>
      <c r="B109" s="651"/>
      <c r="C109" s="4003" t="str">
        <f>'ANEXA 1'!D94</f>
        <v>DIRECTOR  EXECUTIV  ECONOMIC,</v>
      </c>
      <c r="D109" s="4003"/>
      <c r="E109" s="4003"/>
      <c r="F109" s="646"/>
    </row>
    <row r="110" spans="1:6" s="48" customFormat="1" ht="14.25" customHeight="1">
      <c r="A110" s="652"/>
      <c r="B110" s="652"/>
      <c r="C110" s="322"/>
      <c r="D110" s="322"/>
      <c r="E110" s="322"/>
      <c r="F110" s="653"/>
    </row>
    <row r="111" spans="1:6" s="48" customFormat="1" ht="15.75" customHeight="1">
      <c r="A111" s="64" t="str">
        <f>'ANEXA 1'!B96</f>
        <v>EC.ALBU DRINA</v>
      </c>
      <c r="B111" s="654"/>
      <c r="C111" s="4473" t="str">
        <f>'ANEXA 1'!D96</f>
        <v>EC.BIRCU FLORINA</v>
      </c>
      <c r="D111" s="4473"/>
      <c r="E111" s="4473"/>
      <c r="F111" s="642"/>
    </row>
    <row r="112" spans="1:6" s="48" customFormat="1" ht="15.75" customHeight="1">
      <c r="A112" s="1906">
        <f>'ANEXA 1'!B97</f>
        <v>0</v>
      </c>
      <c r="B112" s="654"/>
      <c r="C112" s="1909"/>
      <c r="D112" s="1909"/>
      <c r="E112" s="1909"/>
      <c r="F112" s="642"/>
    </row>
    <row r="113" spans="1:5" s="213" customFormat="1" ht="17.45" customHeight="1">
      <c r="B113" s="640"/>
      <c r="C113" s="961"/>
      <c r="D113" s="961"/>
      <c r="E113" s="961"/>
    </row>
    <row r="114" spans="1:5" s="213" customFormat="1" ht="17.25" customHeight="1">
      <c r="A114" s="1639">
        <f>+'ANEXA 1'!B99</f>
        <v>0</v>
      </c>
      <c r="B114" s="640"/>
      <c r="C114" s="3976">
        <f>'ANEXA 1'!D99</f>
        <v>0</v>
      </c>
      <c r="D114" s="3976"/>
      <c r="E114" s="3976"/>
    </row>
    <row r="115" spans="1:5" s="213" customFormat="1" ht="15" customHeight="1">
      <c r="A115" s="1638"/>
      <c r="B115" s="640"/>
    </row>
    <row r="116" spans="1:5" s="213" customFormat="1" ht="15">
      <c r="A116" s="1574">
        <f>+'ANEXA 1'!B101</f>
        <v>0</v>
      </c>
      <c r="B116" s="640"/>
      <c r="C116" s="3976">
        <f>'ANEXA 1'!D101</f>
        <v>0</v>
      </c>
      <c r="D116" s="3976"/>
      <c r="E116" s="3976"/>
    </row>
    <row r="117" spans="1:5" s="213" customFormat="1" ht="12.75">
      <c r="B117" s="640"/>
      <c r="D117" s="1054"/>
    </row>
    <row r="118" spans="1:5" s="213" customFormat="1" ht="12.75">
      <c r="B118" s="640"/>
      <c r="D118" s="1054"/>
    </row>
    <row r="119" spans="1:5" s="213" customFormat="1" ht="12.75">
      <c r="B119" s="640"/>
      <c r="D119" s="1054"/>
    </row>
    <row r="120" spans="1:5" s="213" customFormat="1" ht="12.75">
      <c r="B120" s="640"/>
      <c r="D120" s="1059"/>
    </row>
  </sheetData>
  <sheetProtection password="CFDD" sheet="1" objects="1" scenarios="1"/>
  <mergeCells count="12">
    <mergeCell ref="C114:E114"/>
    <mergeCell ref="C116:E116"/>
    <mergeCell ref="C111:E111"/>
    <mergeCell ref="C109:E109"/>
    <mergeCell ref="A1:C1"/>
    <mergeCell ref="A3:E3"/>
    <mergeCell ref="A6:A7"/>
    <mergeCell ref="B6:B7"/>
    <mergeCell ref="C6:C7"/>
    <mergeCell ref="D6:D7"/>
    <mergeCell ref="E6:E7"/>
    <mergeCell ref="A4:E4"/>
  </mergeCells>
  <phoneticPr fontId="0" type="noConversion"/>
  <dataValidations count="16">
    <dataValidation type="whole" allowBlank="1" showErrorMessage="1" sqref="E9:E12 E17:E19 E27 E30 E32:E33 E56:E58 E60 E62:E64 E67 E69:E71 E83 E92:E93 E96">
      <formula1>0</formula1>
      <formula2>9.99999999999999E+26</formula2>
    </dataValidation>
    <dataValidation allowBlank="1" showErrorMessage="1" sqref="C9:D12 C17:D19 C27:D27 C30:D30 C32:D33 C56:D58 C60:D60 C62:D64 C67:D67 C69:D71 C83:D83 C92:D93 C96:D96 C100:D102"/>
    <dataValidation type="whole" allowBlank="1" showInputMessage="1" showErrorMessage="1" sqref="C13:E16">
      <formula1>-999999999999999000</formula1>
      <formula2>9999999999999990000</formula2>
    </dataValidation>
    <dataValidation type="whole" allowBlank="1" showInputMessage="1" showErrorMessage="1" sqref="C20:E26">
      <formula1>-9999999999999</formula1>
      <formula2>9999999999999</formula2>
    </dataValidation>
    <dataValidation type="whole" allowBlank="1" showInputMessage="1" showErrorMessage="1" sqref="C28:E29">
      <formula1>-99999999999999900000</formula1>
      <formula2>999999999999999000000</formula2>
    </dataValidation>
    <dataValidation type="whole" allowBlank="1" showInputMessage="1" showErrorMessage="1" sqref="C31:E31 C99:D99">
      <formula1>-99999999999999900000</formula1>
      <formula2>9999999999999990000</formula2>
    </dataValidation>
    <dataValidation type="whole" allowBlank="1" showInputMessage="1" showErrorMessage="1" sqref="C34:E55">
      <formula1>-9.99999999999999E+26</formula1>
      <formula2>9.99999999999999E+25</formula2>
    </dataValidation>
    <dataValidation type="whole" allowBlank="1" showInputMessage="1" showErrorMessage="1" sqref="C59:E59">
      <formula1>-99999999999999900</formula1>
      <formula2>9999999999999990000</formula2>
    </dataValidation>
    <dataValidation type="whole" allowBlank="1" showInputMessage="1" showErrorMessage="1" sqref="C61:E61">
      <formula1>-999999999999999000</formula1>
      <formula2>999999999999999000</formula2>
    </dataValidation>
    <dataValidation type="whole" allowBlank="1" showInputMessage="1" showErrorMessage="1" sqref="C65:E66">
      <formula1>-999999999999999000</formula1>
      <formula2>9.99999999999999E+21</formula2>
    </dataValidation>
    <dataValidation type="whole" allowBlank="1" showInputMessage="1" showErrorMessage="1" sqref="C68:E68">
      <formula1>-9999999999999990000</formula1>
      <formula2>9999999999999990000</formula2>
    </dataValidation>
    <dataValidation type="whole" allowBlank="1" showInputMessage="1" showErrorMessage="1" sqref="C72:E82">
      <formula1>-9999999999999990</formula1>
      <formula2>999999999999999000</formula2>
    </dataValidation>
    <dataValidation type="whole" allowBlank="1" showInputMessage="1" showErrorMessage="1" sqref="C84:E91">
      <formula1>-999999999999999</formula1>
      <formula2>999999999999999</formula2>
    </dataValidation>
    <dataValidation type="whole" allowBlank="1" showInputMessage="1" showErrorMessage="1" sqref="C94:E95">
      <formula1>-9999999999999990</formula1>
      <formula2>999999999999999</formula2>
    </dataValidation>
    <dataValidation type="whole" allowBlank="1" showInputMessage="1" showErrorMessage="1" sqref="C97:E98 E99:E106">
      <formula1>-999999999999999000000</formula1>
      <formula2>9999999999999990000</formula2>
    </dataValidation>
    <dataValidation type="whole" allowBlank="1" showInputMessage="1" showErrorMessage="1" sqref="E107 C103:D107">
      <formula1>-999999999999999000000</formula1>
      <formula2>999999999999999000000</formula2>
    </dataValidation>
  </dataValidations>
  <pageMargins left="0.70866141732283472" right="0.23622047244094491" top="0.51181102362204722" bottom="0.15748031496062992" header="0.51181102362204722" footer="0"/>
  <pageSetup paperSize="9" scale="80" firstPageNumber="0" orientation="portrait" r:id="rId1"/>
  <headerFooter alignWithMargins="0">
    <oddFooter>&amp;C&amp;A&amp;RPagina &amp;P</oddFooter>
  </headerFooter>
  <rowBreaks count="2" manualBreakCount="2">
    <brk id="41" max="4" man="1"/>
    <brk id="77"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E32"/>
  <sheetViews>
    <sheetView showZeros="0" workbookViewId="0">
      <selection activeCell="H19" sqref="H19"/>
    </sheetView>
  </sheetViews>
  <sheetFormatPr defaultRowHeight="12.75"/>
  <cols>
    <col min="1" max="1" width="51.5703125" customWidth="1"/>
    <col min="2" max="2" width="10.28515625" customWidth="1"/>
    <col min="3" max="3" width="17" customWidth="1"/>
    <col min="4" max="4" width="16" customWidth="1"/>
    <col min="5" max="5" width="18.140625" customWidth="1"/>
  </cols>
  <sheetData>
    <row r="1" spans="1:5" ht="15">
      <c r="A1" s="3989" t="str">
        <f>'ANEXA 1'!A1</f>
        <v>CASA  DE  ASIGURĂRI  DE  SĂNĂTATE MEHEDINTI</v>
      </c>
      <c r="B1" s="3989"/>
      <c r="C1" s="3989"/>
      <c r="D1" s="213"/>
      <c r="E1" s="213"/>
    </row>
    <row r="2" spans="1:5">
      <c r="A2" s="48"/>
      <c r="B2" s="360"/>
      <c r="C2" s="48"/>
      <c r="D2" s="48"/>
      <c r="E2" s="48"/>
    </row>
    <row r="3" spans="1:5">
      <c r="A3" s="4166" t="s">
        <v>2190</v>
      </c>
      <c r="B3" s="4166"/>
      <c r="C3" s="4166"/>
      <c r="D3" s="4166"/>
      <c r="E3" s="4166"/>
    </row>
    <row r="4" spans="1:5">
      <c r="A4" s="4480" t="str">
        <f>'ANEXA 1'!A12</f>
        <v>la  data  de  30  IUNIE  2023</v>
      </c>
      <c r="B4" s="4480"/>
      <c r="C4" s="4480"/>
      <c r="D4" s="4480"/>
      <c r="E4" s="4480"/>
    </row>
    <row r="5" spans="1:5">
      <c r="A5" s="1692"/>
      <c r="B5" s="1692"/>
      <c r="C5" s="1692"/>
      <c r="D5" s="1692"/>
      <c r="E5" s="645" t="s">
        <v>428</v>
      </c>
    </row>
    <row r="6" spans="1:5">
      <c r="A6" s="4474" t="s">
        <v>685</v>
      </c>
      <c r="B6" s="4476" t="s">
        <v>808</v>
      </c>
      <c r="C6" s="4476" t="s">
        <v>689</v>
      </c>
      <c r="D6" s="4476" t="s">
        <v>1475</v>
      </c>
      <c r="E6" s="4478" t="s">
        <v>231</v>
      </c>
    </row>
    <row r="7" spans="1:5">
      <c r="A7" s="4475"/>
      <c r="B7" s="4477"/>
      <c r="C7" s="4477"/>
      <c r="D7" s="4477"/>
      <c r="E7" s="4479"/>
    </row>
    <row r="8" spans="1:5">
      <c r="A8" s="1745" t="s">
        <v>92</v>
      </c>
      <c r="B8" s="1746" t="s">
        <v>93</v>
      </c>
      <c r="C8" s="1747">
        <v>1</v>
      </c>
      <c r="D8" s="1747">
        <v>2</v>
      </c>
      <c r="E8" s="1748" t="s">
        <v>1476</v>
      </c>
    </row>
    <row r="9" spans="1:5" ht="15.75">
      <c r="A9" s="1744" t="s">
        <v>695</v>
      </c>
      <c r="B9" s="2955" t="s">
        <v>696</v>
      </c>
      <c r="C9" s="1917">
        <f>C14+C10</f>
        <v>0</v>
      </c>
      <c r="D9" s="1917">
        <f>ROUND(D10+D68+D91+D98,1)</f>
        <v>0</v>
      </c>
      <c r="E9" s="1918">
        <f>D9+C9</f>
        <v>0</v>
      </c>
    </row>
    <row r="10" spans="1:5" ht="15.75">
      <c r="A10" s="1740" t="s">
        <v>697</v>
      </c>
      <c r="B10" s="2956" t="s">
        <v>698</v>
      </c>
      <c r="C10" s="2957">
        <f>ROUND(+C11+C17+C56,)</f>
        <v>0</v>
      </c>
      <c r="D10" s="2957">
        <f>ROUND(+D11+D17+D56,)</f>
        <v>0</v>
      </c>
      <c r="E10" s="2958">
        <f t="shared" ref="E10:E20" si="0">D10+C10</f>
        <v>0</v>
      </c>
    </row>
    <row r="11" spans="1:5" ht="24">
      <c r="A11" s="1740" t="s">
        <v>2128</v>
      </c>
      <c r="B11" s="2956">
        <v>4008</v>
      </c>
      <c r="C11" s="2957">
        <f>C12</f>
        <v>0</v>
      </c>
      <c r="D11" s="2957">
        <f>D12</f>
        <v>0</v>
      </c>
      <c r="E11" s="2958">
        <f t="shared" si="0"/>
        <v>0</v>
      </c>
    </row>
    <row r="12" spans="1:5" ht="24">
      <c r="A12" s="1741" t="s">
        <v>2129</v>
      </c>
      <c r="B12" s="2956" t="s">
        <v>2130</v>
      </c>
      <c r="C12" s="2959">
        <f>C13</f>
        <v>0</v>
      </c>
      <c r="D12" s="2959">
        <f>D13</f>
        <v>0</v>
      </c>
      <c r="E12" s="2960">
        <f t="shared" si="0"/>
        <v>0</v>
      </c>
    </row>
    <row r="13" spans="1:5" ht="15">
      <c r="A13" s="1742" t="s">
        <v>2131</v>
      </c>
      <c r="B13" s="2961" t="s">
        <v>2132</v>
      </c>
      <c r="C13" s="2962"/>
      <c r="D13" s="2962"/>
      <c r="E13" s="2963">
        <f t="shared" si="0"/>
        <v>0</v>
      </c>
    </row>
    <row r="14" spans="1:5" ht="36">
      <c r="A14" s="1743" t="s">
        <v>81</v>
      </c>
      <c r="B14" s="2950" t="s">
        <v>82</v>
      </c>
      <c r="C14" s="2964">
        <f>C15+C19</f>
        <v>0</v>
      </c>
      <c r="D14" s="2965"/>
      <c r="E14" s="2966">
        <f t="shared" si="0"/>
        <v>0</v>
      </c>
    </row>
    <row r="15" spans="1:5" ht="24">
      <c r="A15" s="1743" t="s">
        <v>83</v>
      </c>
      <c r="B15" s="2950" t="s">
        <v>801</v>
      </c>
      <c r="C15" s="2964">
        <f>C16+C17+C18</f>
        <v>0</v>
      </c>
      <c r="D15" s="2965"/>
      <c r="E15" s="2966">
        <f t="shared" si="0"/>
        <v>0</v>
      </c>
    </row>
    <row r="16" spans="1:5" ht="15">
      <c r="A16" s="1730" t="s">
        <v>73</v>
      </c>
      <c r="B16" s="2967" t="s">
        <v>802</v>
      </c>
      <c r="C16" s="2965"/>
      <c r="D16" s="2965"/>
      <c r="E16" s="2968">
        <f t="shared" si="0"/>
        <v>0</v>
      </c>
    </row>
    <row r="17" spans="1:5" ht="15">
      <c r="A17" s="1730" t="s">
        <v>75</v>
      </c>
      <c r="B17" s="2967" t="s">
        <v>803</v>
      </c>
      <c r="C17" s="2965"/>
      <c r="D17" s="2965"/>
      <c r="E17" s="2968">
        <f t="shared" si="0"/>
        <v>0</v>
      </c>
    </row>
    <row r="18" spans="1:5" ht="15">
      <c r="A18" s="2948" t="s">
        <v>1658</v>
      </c>
      <c r="B18" s="2967" t="s">
        <v>1659</v>
      </c>
      <c r="C18" s="2969"/>
      <c r="D18" s="2965"/>
      <c r="E18" s="2968">
        <f t="shared" si="0"/>
        <v>0</v>
      </c>
    </row>
    <row r="19" spans="1:5" ht="15.75">
      <c r="A19" s="2949" t="s">
        <v>2549</v>
      </c>
      <c r="B19" s="2950" t="s">
        <v>2550</v>
      </c>
      <c r="C19" s="2951">
        <f>C20</f>
        <v>0</v>
      </c>
      <c r="D19" s="2965"/>
      <c r="E19" s="2970">
        <f t="shared" si="0"/>
        <v>0</v>
      </c>
    </row>
    <row r="20" spans="1:5" ht="15">
      <c r="A20" s="2952" t="s">
        <v>1658</v>
      </c>
      <c r="B20" s="2953" t="s">
        <v>2551</v>
      </c>
      <c r="C20" s="2954"/>
      <c r="D20" s="2971"/>
      <c r="E20" s="2972">
        <f t="shared" si="0"/>
        <v>0</v>
      </c>
    </row>
    <row r="23" spans="1:5" ht="15.75">
      <c r="A23" s="1749" t="str">
        <f>'ANEXA 1'!B94</f>
        <v>DIRECTOR  GENERAL,</v>
      </c>
      <c r="C23" s="4481" t="str">
        <f>'ANEXA 1'!D94</f>
        <v>DIRECTOR  EXECUTIV  ECONOMIC,</v>
      </c>
      <c r="D23" s="4481"/>
      <c r="E23" s="4481"/>
    </row>
    <row r="24" spans="1:5" ht="15">
      <c r="C24" s="956"/>
      <c r="D24" s="956"/>
      <c r="E24" s="956"/>
    </row>
    <row r="25" spans="1:5" ht="15.75">
      <c r="A25" s="1749" t="str">
        <f>'ANEXA 1'!B96</f>
        <v>EC.ALBU DRINA</v>
      </c>
      <c r="C25" s="4481" t="str">
        <f>'ANEXA 1'!D96</f>
        <v>EC.BIRCU FLORINA</v>
      </c>
      <c r="D25" s="4481"/>
      <c r="E25" s="4481"/>
    </row>
    <row r="26" spans="1:5" ht="14.25">
      <c r="A26" s="1911">
        <f>'ANEXA 1'!B97</f>
        <v>0</v>
      </c>
    </row>
    <row r="30" spans="1:5" ht="15">
      <c r="A30" s="1750">
        <f>'ANEXA 1'!B99</f>
        <v>0</v>
      </c>
      <c r="C30" s="4482">
        <f>'ANEXA 1'!D99</f>
        <v>0</v>
      </c>
      <c r="D30" s="4482"/>
      <c r="E30" s="4482"/>
    </row>
    <row r="32" spans="1:5" ht="15">
      <c r="A32" s="1751">
        <f>'ANEXA 1'!B101</f>
        <v>0</v>
      </c>
      <c r="C32" s="4482">
        <f>'ANEXA 1'!D101</f>
        <v>0</v>
      </c>
      <c r="D32" s="4482"/>
      <c r="E32" s="4482"/>
    </row>
  </sheetData>
  <sheetProtection password="CF1D" sheet="1" objects="1" scenarios="1"/>
  <mergeCells count="12">
    <mergeCell ref="C23:E23"/>
    <mergeCell ref="C25:E25"/>
    <mergeCell ref="C30:E30"/>
    <mergeCell ref="C32:E32"/>
    <mergeCell ref="A1:C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8" orientation="portrait"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4">
    <tabColor indexed="24"/>
  </sheetPr>
  <dimension ref="A1:K34"/>
  <sheetViews>
    <sheetView showZeros="0" topLeftCell="A10" zoomScaleNormal="100" workbookViewId="0">
      <selection activeCell="G18" sqref="G18"/>
    </sheetView>
  </sheetViews>
  <sheetFormatPr defaultColWidth="9.140625" defaultRowHeight="18"/>
  <cols>
    <col min="1" max="1" width="4.7109375" style="1" customWidth="1"/>
    <col min="2" max="2" width="68.7109375" style="1" customWidth="1"/>
    <col min="3" max="3" width="23.28515625" style="1" customWidth="1"/>
    <col min="4" max="4" width="21.28515625" style="1" customWidth="1"/>
    <col min="5" max="5" width="20.140625" style="1" customWidth="1"/>
    <col min="6" max="6" width="16.28515625" style="1" customWidth="1"/>
    <col min="7" max="7" width="23.7109375" style="1" customWidth="1"/>
    <col min="8" max="8" width="10.28515625" style="2368" bestFit="1" customWidth="1"/>
    <col min="9" max="9" width="8.7109375" style="2368" customWidth="1"/>
    <col min="10" max="10" width="10.28515625" style="2368" customWidth="1"/>
    <col min="11" max="11" width="11.140625" style="2368" customWidth="1"/>
    <col min="12" max="16384" width="9.140625" style="1"/>
  </cols>
  <sheetData>
    <row r="1" spans="1:10" s="1" customFormat="1">
      <c r="A1" s="655" t="str">
        <f>+'ANEXA 1'!A1:E1</f>
        <v>CASA  DE  ASIGURĂRI  DE  SĂNĂTATE MEHEDINTI</v>
      </c>
      <c r="H1" s="2368"/>
      <c r="I1" s="2368"/>
      <c r="J1" s="2368"/>
    </row>
    <row r="2" spans="1:10" s="1" customFormat="1">
      <c r="A2" s="656"/>
      <c r="B2" s="4483" t="s">
        <v>2183</v>
      </c>
      <c r="C2" s="4483"/>
      <c r="D2" s="4483"/>
      <c r="E2" s="4483"/>
      <c r="F2" s="4483"/>
      <c r="G2" s="2063"/>
      <c r="H2" s="2368"/>
      <c r="I2" s="2368"/>
      <c r="J2" s="2368"/>
    </row>
    <row r="3" spans="1:10" s="1" customFormat="1">
      <c r="A3" s="656"/>
      <c r="B3" s="4313" t="str">
        <f>'ANEXA 1'!A12</f>
        <v>la  data  de  30  IUNIE  2023</v>
      </c>
      <c r="C3" s="4313"/>
      <c r="D3" s="4313"/>
      <c r="E3" s="4313"/>
      <c r="F3" s="4313"/>
      <c r="G3" s="2062"/>
      <c r="H3" s="2368"/>
      <c r="I3" s="2368"/>
      <c r="J3" s="2368"/>
    </row>
    <row r="4" spans="1:10" s="1" customFormat="1">
      <c r="F4" s="657" t="s">
        <v>428</v>
      </c>
      <c r="G4" s="657"/>
      <c r="H4" s="2368"/>
      <c r="I4" s="2368"/>
      <c r="J4" s="2368"/>
    </row>
    <row r="5" spans="1:10" s="1" customFormat="1" ht="12.75" customHeight="1">
      <c r="B5" s="4484" t="s">
        <v>88</v>
      </c>
      <c r="C5" s="4486" t="s">
        <v>2102</v>
      </c>
      <c r="D5" s="4488" t="s">
        <v>2103</v>
      </c>
      <c r="E5" s="4489"/>
      <c r="F5" s="4489"/>
      <c r="G5" s="4490"/>
      <c r="H5" s="2368"/>
      <c r="I5" s="2368"/>
      <c r="J5" s="2368"/>
    </row>
    <row r="6" spans="1:10" s="1" customFormat="1" ht="147" customHeight="1">
      <c r="B6" s="4485"/>
      <c r="C6" s="4487"/>
      <c r="D6" s="2680" t="s">
        <v>2170</v>
      </c>
      <c r="E6" s="2681" t="s">
        <v>2104</v>
      </c>
      <c r="F6" s="2682" t="s">
        <v>2105</v>
      </c>
      <c r="G6" s="2683" t="s">
        <v>2423</v>
      </c>
      <c r="H6" s="2368"/>
      <c r="I6" s="2368"/>
      <c r="J6" s="2368"/>
    </row>
    <row r="7" spans="1:10" s="1" customFormat="1" ht="27.75" customHeight="1">
      <c r="B7" s="2684" t="s">
        <v>1480</v>
      </c>
      <c r="C7" s="2685">
        <f>+'ANEXA 1'!D60</f>
        <v>5226428</v>
      </c>
      <c r="D7" s="3949">
        <v>39161</v>
      </c>
      <c r="E7" s="2686">
        <v>729</v>
      </c>
      <c r="F7" s="2686"/>
      <c r="G7" s="2687">
        <v>5186538</v>
      </c>
      <c r="H7" s="2369" t="str">
        <f>IF(C7&lt;&gt;D7+E7+F7+G7,"eroare"," ")</f>
        <v xml:space="preserve"> </v>
      </c>
      <c r="I7" s="2368"/>
      <c r="J7" s="2368"/>
    </row>
    <row r="8" spans="1:10" s="1" customFormat="1" ht="30.75" customHeight="1">
      <c r="B8" s="2688" t="s">
        <v>1481</v>
      </c>
      <c r="C8" s="2689">
        <f>C9+C10</f>
        <v>3870990</v>
      </c>
      <c r="D8" s="2690">
        <f t="shared" ref="D8:G8" si="0">D9+D10</f>
        <v>1848</v>
      </c>
      <c r="E8" s="2691">
        <f t="shared" si="0"/>
        <v>416</v>
      </c>
      <c r="F8" s="2691">
        <f t="shared" si="0"/>
        <v>0</v>
      </c>
      <c r="G8" s="2689">
        <f t="shared" si="0"/>
        <v>3868726</v>
      </c>
      <c r="H8" s="2368"/>
      <c r="I8" s="2368"/>
      <c r="J8" s="2368"/>
    </row>
    <row r="9" spans="1:10" s="1" customFormat="1" ht="27.75" customHeight="1">
      <c r="B9" s="2692" t="s">
        <v>1482</v>
      </c>
      <c r="C9" s="2693">
        <f>D9+E9+F9+G9</f>
        <v>5559</v>
      </c>
      <c r="D9" s="2694">
        <v>1848</v>
      </c>
      <c r="E9" s="2695"/>
      <c r="F9" s="2696"/>
      <c r="G9" s="3951">
        <v>3711</v>
      </c>
      <c r="H9" s="2370" t="b">
        <f>IF(D7&lt;&gt;0,D9&lt;&gt;0,D9=0)</f>
        <v>1</v>
      </c>
      <c r="I9" s="2369" t="str">
        <f>IF(E9&lt;&gt;0,"eroare"," ")</f>
        <v xml:space="preserve"> </v>
      </c>
      <c r="J9" s="2370" t="b">
        <f>IF(G7&lt;&gt;0,G9&lt;&gt;0,G9=0)</f>
        <v>1</v>
      </c>
    </row>
    <row r="10" spans="1:10" s="1" customFormat="1" ht="25.5" customHeight="1">
      <c r="B10" s="2692" t="s">
        <v>1483</v>
      </c>
      <c r="C10" s="2693">
        <f>D10+E10+F10+G10</f>
        <v>3865431</v>
      </c>
      <c r="D10" s="2694"/>
      <c r="E10" s="3950">
        <v>416</v>
      </c>
      <c r="F10" s="2696"/>
      <c r="G10" s="2697">
        <v>3865015</v>
      </c>
      <c r="H10" s="2368"/>
      <c r="I10" s="2368"/>
      <c r="J10" s="2368"/>
    </row>
    <row r="11" spans="1:10" s="1" customFormat="1" ht="26.25" customHeight="1">
      <c r="B11" s="2688" t="s">
        <v>1484</v>
      </c>
      <c r="C11" s="2689">
        <f>C12+C13+C14+C15</f>
        <v>1764642</v>
      </c>
      <c r="D11" s="2690">
        <f t="shared" ref="D11:F11" si="1">D12+D13</f>
        <v>10013</v>
      </c>
      <c r="E11" s="2691">
        <f t="shared" si="1"/>
        <v>281</v>
      </c>
      <c r="F11" s="2691">
        <f t="shared" si="1"/>
        <v>0</v>
      </c>
      <c r="G11" s="2689">
        <f>G12+G13+G14+G15</f>
        <v>1754348</v>
      </c>
      <c r="H11" s="2368"/>
      <c r="I11" s="2368"/>
      <c r="J11" s="2368"/>
    </row>
    <row r="12" spans="1:10" s="1" customFormat="1" ht="24.75" customHeight="1">
      <c r="B12" s="2692" t="s">
        <v>1485</v>
      </c>
      <c r="C12" s="2693">
        <f>D12+E12+F12+G12</f>
        <v>10294</v>
      </c>
      <c r="D12" s="2694">
        <v>10013</v>
      </c>
      <c r="E12" s="3950">
        <v>281</v>
      </c>
      <c r="F12" s="2696">
        <v>0</v>
      </c>
      <c r="G12" s="2693"/>
      <c r="H12" s="2370" t="str">
        <f>IF(D12+E12&lt;&gt;PLATI!C22+PLATI!C26+PLATI!C27+PLATI!C28+PLATI!C29+PLATI!C30+PLATI!C32,"eroare"," ")</f>
        <v xml:space="preserve"> </v>
      </c>
      <c r="I12" s="2368"/>
      <c r="J12" s="2368"/>
    </row>
    <row r="13" spans="1:10" s="1" customFormat="1" ht="28.5" customHeight="1">
      <c r="B13" s="2692" t="s">
        <v>1486</v>
      </c>
      <c r="C13" s="2693">
        <f>D13+E13+F13+G13</f>
        <v>681612</v>
      </c>
      <c r="D13" s="2694"/>
      <c r="E13" s="2696">
        <v>0</v>
      </c>
      <c r="F13" s="2696"/>
      <c r="G13" s="2697">
        <v>681612</v>
      </c>
      <c r="H13" s="2368"/>
      <c r="I13" s="2368"/>
      <c r="J13" s="2368"/>
    </row>
    <row r="14" spans="1:10" s="1" customFormat="1" ht="37.15" customHeight="1">
      <c r="B14" s="2698" t="s">
        <v>2415</v>
      </c>
      <c r="C14" s="2693">
        <f>D14+E14+F14+G14</f>
        <v>671521</v>
      </c>
      <c r="D14" s="2699"/>
      <c r="E14" s="2695"/>
      <c r="F14" s="2695"/>
      <c r="G14" s="2697">
        <v>671521</v>
      </c>
      <c r="H14" s="2368"/>
      <c r="I14" s="2368"/>
      <c r="J14" s="2368"/>
    </row>
    <row r="15" spans="1:10" s="1" customFormat="1" ht="37.15" customHeight="1">
      <c r="B15" s="2698" t="s">
        <v>2416</v>
      </c>
      <c r="C15" s="2693">
        <f>D15+E15+F15+G15</f>
        <v>401215</v>
      </c>
      <c r="D15" s="2699"/>
      <c r="E15" s="2695"/>
      <c r="F15" s="2695"/>
      <c r="G15" s="3970">
        <v>401215</v>
      </c>
      <c r="H15" s="2368"/>
      <c r="I15" s="2368"/>
      <c r="J15" s="2368"/>
    </row>
    <row r="16" spans="1:10" s="1" customFormat="1" ht="36" customHeight="1">
      <c r="B16" s="2700" t="s">
        <v>1487</v>
      </c>
      <c r="C16" s="2689">
        <f>C7+C8-C11</f>
        <v>7332776</v>
      </c>
      <c r="D16" s="2690">
        <f t="shared" ref="D16:G16" si="2">D7+D8-D11</f>
        <v>30996</v>
      </c>
      <c r="E16" s="2691">
        <f t="shared" si="2"/>
        <v>864</v>
      </c>
      <c r="F16" s="2691">
        <f t="shared" si="2"/>
        <v>0</v>
      </c>
      <c r="G16" s="2689">
        <f t="shared" si="2"/>
        <v>7300916</v>
      </c>
      <c r="H16" s="2368"/>
      <c r="I16" s="2368"/>
      <c r="J16" s="2368"/>
    </row>
    <row r="17" spans="2:11" ht="28.5">
      <c r="B17" s="2701" t="s">
        <v>1488</v>
      </c>
      <c r="C17" s="2693">
        <f>+'ANEXA 1'!E79</f>
        <v>0</v>
      </c>
      <c r="D17" s="2694">
        <v>0</v>
      </c>
      <c r="E17" s="2696"/>
      <c r="F17" s="2696">
        <v>0</v>
      </c>
      <c r="G17" s="2697"/>
      <c r="H17" s="2371" t="str">
        <f>IF(C17&lt;&gt;D17+E17+F17+G17,"eroare"," ")</f>
        <v xml:space="preserve"> </v>
      </c>
      <c r="I17" s="2371" t="str">
        <f>IF(F17&lt;&gt;'SOLDURI BILANT'!F18,"eroare"," ")</f>
        <v xml:space="preserve"> </v>
      </c>
      <c r="J17" s="2371" t="str">
        <f>IF(D17+E17&lt;&gt;'SOLDURI BILANT'!F19,"eroare"," ")</f>
        <v xml:space="preserve"> </v>
      </c>
      <c r="K17" s="2371" t="str">
        <f>IF(G17&lt;&gt;'SOLDURI BILANT'!F20,"eroare"," ")</f>
        <v xml:space="preserve"> </v>
      </c>
    </row>
    <row r="18" spans="2:11" ht="31.9" customHeight="1">
      <c r="B18" s="2702" t="s">
        <v>1489</v>
      </c>
      <c r="C18" s="2703">
        <f>+'ANEXA 1'!E60</f>
        <v>7332776</v>
      </c>
      <c r="D18" s="2704">
        <v>30996</v>
      </c>
      <c r="E18" s="2705">
        <v>864</v>
      </c>
      <c r="F18" s="2705">
        <v>0</v>
      </c>
      <c r="G18" s="2706">
        <v>7300916</v>
      </c>
      <c r="H18" s="2371" t="str">
        <f>IF(C18&lt;&gt;D18+E18+F18+G18,"eroare"," ")</f>
        <v xml:space="preserve"> </v>
      </c>
      <c r="I18" s="2371" t="str">
        <f>IF(F18&lt;&gt;'SOLDURI BILANT'!F21,"eroare"," ")</f>
        <v xml:space="preserve"> </v>
      </c>
      <c r="J18" s="2371" t="str">
        <f>IF(D18+E18&lt;&gt;'SOLDURI BILANT'!F22,"eroare"," ")</f>
        <v xml:space="preserve"> </v>
      </c>
      <c r="K18" s="2371" t="str">
        <f>IF(G18&lt;&gt;'SOLDURI BILANT'!F23,"eroare"," ")</f>
        <v xml:space="preserve"> </v>
      </c>
    </row>
    <row r="19" spans="2:11">
      <c r="C19" s="658"/>
    </row>
    <row r="20" spans="2:11" ht="12.6" customHeight="1">
      <c r="B20" s="1469"/>
      <c r="C20" s="25" t="str">
        <f>IF(C16&lt;&gt;C17+C18,"eroare"," ")</f>
        <v xml:space="preserve"> </v>
      </c>
      <c r="D20" s="25" t="str">
        <f t="shared" ref="D20:G20" si="3">IF(D16&lt;&gt;D17+D18,"eroare"," ")</f>
        <v xml:space="preserve"> </v>
      </c>
      <c r="E20" s="25" t="str">
        <f t="shared" si="3"/>
        <v xml:space="preserve"> </v>
      </c>
      <c r="F20" s="25" t="str">
        <f t="shared" si="3"/>
        <v xml:space="preserve"> </v>
      </c>
      <c r="G20" s="25" t="str">
        <f t="shared" si="3"/>
        <v xml:space="preserve"> </v>
      </c>
    </row>
    <row r="21" spans="2:11">
      <c r="B21" s="1468" t="str">
        <f>'ANEXA 1'!B94</f>
        <v>DIRECTOR  GENERAL,</v>
      </c>
      <c r="E21" s="4150" t="str">
        <f>+'ANEXA 1'!D94</f>
        <v>DIRECTOR  EXECUTIV  ECONOMIC,</v>
      </c>
      <c r="F21" s="4150"/>
    </row>
    <row r="23" spans="2:11" ht="15" customHeight="1">
      <c r="B23" s="1469" t="str">
        <f>'ANEXA 1'!B96</f>
        <v>EC.ALBU DRINA</v>
      </c>
      <c r="E23" s="4150" t="str">
        <f>+'ANEXA 1'!D96</f>
        <v>EC.BIRCU FLORINA</v>
      </c>
      <c r="F23" s="4150"/>
      <c r="G23" s="2061"/>
    </row>
    <row r="24" spans="2:11" ht="15" customHeight="1">
      <c r="B24" s="1907">
        <f>'ANEXA 1'!B97</f>
        <v>0</v>
      </c>
      <c r="C24" s="658"/>
      <c r="E24" s="17"/>
      <c r="F24" s="17"/>
      <c r="G24" s="17"/>
    </row>
    <row r="25" spans="2:11">
      <c r="C25" s="658"/>
      <c r="G25" s="2061"/>
    </row>
    <row r="26" spans="2:11">
      <c r="B26" s="1570">
        <f>+'ANEXA 1'!B99</f>
        <v>0</v>
      </c>
      <c r="C26" s="314"/>
      <c r="E26" s="4017">
        <f>'ANEXA 1'!D99</f>
        <v>0</v>
      </c>
      <c r="F26" s="4017"/>
    </row>
    <row r="27" spans="2:11">
      <c r="B27" s="1567">
        <f>+'ANEXA 1'!B101</f>
        <v>0</v>
      </c>
      <c r="C27" s="314"/>
      <c r="E27" s="4017">
        <f>'ANEXA 1'!D101</f>
        <v>0</v>
      </c>
      <c r="F27" s="4017"/>
    </row>
    <row r="28" spans="2:11" ht="15" customHeight="1">
      <c r="B28" s="314"/>
      <c r="C28" s="314"/>
    </row>
    <row r="30" spans="2:11" ht="15" customHeight="1">
      <c r="G30" s="2060"/>
    </row>
    <row r="31" spans="2:11" ht="15" customHeight="1">
      <c r="B31" s="1571"/>
      <c r="E31" s="1461"/>
      <c r="F31" s="1461"/>
      <c r="G31" s="1461"/>
    </row>
    <row r="32" spans="2:11" ht="15" customHeight="1">
      <c r="G32" s="2060"/>
    </row>
    <row r="33" spans="2:3" s="1" customFormat="1" ht="15" customHeight="1">
      <c r="B33" s="1077"/>
      <c r="C33" s="1077"/>
    </row>
    <row r="34" spans="2:3" s="1" customFormat="1" ht="12.75">
      <c r="B34" s="1078"/>
      <c r="C34" s="1078"/>
    </row>
  </sheetData>
  <sheetProtection password="CFDD" sheet="1" objects="1" scenarios="1"/>
  <mergeCells count="9">
    <mergeCell ref="E23:F23"/>
    <mergeCell ref="B2:F2"/>
    <mergeCell ref="E26:F26"/>
    <mergeCell ref="E27:F27"/>
    <mergeCell ref="B5:B6"/>
    <mergeCell ref="C5:C6"/>
    <mergeCell ref="E21:F21"/>
    <mergeCell ref="B3:F3"/>
    <mergeCell ref="D5:G5"/>
  </mergeCells>
  <phoneticPr fontId="0" type="noConversion"/>
  <dataValidations count="5">
    <dataValidation type="whole" allowBlank="1" showErrorMessage="1" sqref="D11:G11 C7:C18">
      <formula1>-9.99999999999999E+21</formula1>
      <formula2>9.99999999999999E+21</formula2>
    </dataValidation>
    <dataValidation type="whole" allowBlank="1" showInputMessage="1" showErrorMessage="1" sqref="G12">
      <formula1>0</formula1>
      <formula2>9.99999999999999E+25</formula2>
    </dataValidation>
    <dataValidation type="whole" allowBlank="1" showInputMessage="1" showErrorMessage="1" sqref="G13">
      <formula1>0</formula1>
      <formula2>99999999999999</formula2>
    </dataValidation>
    <dataValidation type="whole" allowBlank="1" showInputMessage="1" showErrorMessage="1" sqref="G14">
      <formula1>0</formula1>
      <formula2>9.99999999999999E+21</formula2>
    </dataValidation>
    <dataValidation type="whole" allowBlank="1" showInputMessage="1" showErrorMessage="1" sqref="G15">
      <formula1>0</formula1>
      <formula2>999999999999999000000</formula2>
    </dataValidation>
  </dataValidations>
  <pageMargins left="0.74803149606299213" right="0.35433070866141736" top="0.39370078740157483" bottom="0.98425196850393704" header="0.11811023622047245" footer="0.51181102362204722"/>
  <pageSetup paperSize="9" scale="70" firstPageNumber="0" orientation="landscape" r:id="rId1"/>
  <headerFooter alignWithMargins="0">
    <oddFooter>&amp;A&amp;RPagina &amp;P</oddFooter>
  </headerFooter>
  <rowBreaks count="2" manualBreakCount="2">
    <brk id="28" max="6" man="1"/>
    <brk id="32" max="7" man="1"/>
  </rowBreaks>
  <colBreaks count="1" manualBreakCount="1">
    <brk id="7" max="29" man="1"/>
  </col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5">
    <tabColor rgb="FF9999FF"/>
  </sheetPr>
  <dimension ref="A1:K36"/>
  <sheetViews>
    <sheetView showZeros="0" topLeftCell="A7" workbookViewId="0">
      <selection activeCell="G16" sqref="G16"/>
    </sheetView>
  </sheetViews>
  <sheetFormatPr defaultColWidth="9.140625" defaultRowHeight="12.75"/>
  <cols>
    <col min="1" max="1" width="64.85546875" style="48" customWidth="1"/>
    <col min="2" max="2" width="6.85546875" style="48" customWidth="1"/>
    <col min="3" max="3" width="15.7109375" style="48" customWidth="1"/>
    <col min="4" max="6" width="16.28515625" style="48" customWidth="1"/>
    <col min="7" max="7" width="15.7109375" style="48" customWidth="1"/>
    <col min="8" max="8" width="14.140625" style="48" customWidth="1"/>
    <col min="9" max="10" width="9.140625" style="48" hidden="1" customWidth="1"/>
    <col min="11" max="11" width="12.7109375" style="48" customWidth="1"/>
    <col min="12" max="16384" width="9.140625" style="48"/>
  </cols>
  <sheetData>
    <row r="1" spans="1:11">
      <c r="A1" s="4492" t="str">
        <f>'ANEXA 1'!A1</f>
        <v>CASA  DE  ASIGURĂRI  DE  SĂNĂTATE MEHEDINTI</v>
      </c>
      <c r="B1" s="4492"/>
      <c r="C1" s="4492"/>
    </row>
    <row r="2" spans="1:11">
      <c r="A2" s="4008" t="s">
        <v>2184</v>
      </c>
      <c r="B2" s="4008"/>
      <c r="C2" s="4008"/>
      <c r="D2" s="4008"/>
      <c r="E2" s="4008"/>
      <c r="F2" s="4008"/>
      <c r="G2" s="4008"/>
      <c r="H2" s="4008"/>
    </row>
    <row r="3" spans="1:11">
      <c r="A3" s="4012" t="str">
        <f>'ANEXA 1'!A12</f>
        <v>la  data  de  30  IUNIE  2023</v>
      </c>
      <c r="B3" s="4012"/>
      <c r="C3" s="4012"/>
      <c r="D3" s="4012"/>
      <c r="E3" s="4012"/>
      <c r="F3" s="4012"/>
      <c r="G3" s="4012"/>
      <c r="H3" s="4012"/>
    </row>
    <row r="4" spans="1:11">
      <c r="A4" s="72" t="s">
        <v>228</v>
      </c>
      <c r="B4" s="70"/>
    </row>
    <row r="5" spans="1:11" ht="101.25">
      <c r="A5" s="660" t="s">
        <v>181</v>
      </c>
      <c r="B5" s="661" t="s">
        <v>230</v>
      </c>
      <c r="C5" s="662" t="s">
        <v>1490</v>
      </c>
      <c r="D5" s="662" t="s">
        <v>1491</v>
      </c>
      <c r="E5" s="662" t="s">
        <v>1492</v>
      </c>
      <c r="F5" s="662" t="s">
        <v>1493</v>
      </c>
      <c r="G5" s="663" t="s">
        <v>1494</v>
      </c>
      <c r="H5" s="664" t="s">
        <v>1495</v>
      </c>
    </row>
    <row r="6" spans="1:11" s="360" customFormat="1" ht="15.75">
      <c r="A6" s="665"/>
      <c r="B6" s="666"/>
      <c r="C6" s="667"/>
      <c r="D6" s="668"/>
      <c r="E6" s="668"/>
      <c r="F6" s="668"/>
      <c r="G6" s="668"/>
      <c r="H6" s="669" t="s">
        <v>1496</v>
      </c>
    </row>
    <row r="7" spans="1:11">
      <c r="A7" s="670" t="s">
        <v>92</v>
      </c>
      <c r="B7" s="671" t="s">
        <v>93</v>
      </c>
      <c r="C7" s="672">
        <v>1</v>
      </c>
      <c r="D7" s="672">
        <v>2</v>
      </c>
      <c r="E7" s="672">
        <f>D7+1</f>
        <v>3</v>
      </c>
      <c r="F7" s="672">
        <f>E7+1</f>
        <v>4</v>
      </c>
      <c r="G7" s="672">
        <f>F7+1</f>
        <v>5</v>
      </c>
      <c r="H7" s="673">
        <f>G7+1</f>
        <v>6</v>
      </c>
    </row>
    <row r="8" spans="1:11" ht="18" customHeight="1">
      <c r="A8" s="674" t="s">
        <v>244</v>
      </c>
      <c r="B8" s="675">
        <v>1</v>
      </c>
      <c r="C8" s="676"/>
      <c r="D8" s="677"/>
      <c r="E8" s="677"/>
      <c r="F8" s="677"/>
      <c r="G8" s="677"/>
      <c r="H8" s="678"/>
    </row>
    <row r="9" spans="1:11" ht="18" customHeight="1">
      <c r="A9" s="679" t="s">
        <v>245</v>
      </c>
      <c r="B9" s="680">
        <v>2</v>
      </c>
      <c r="C9" s="681">
        <v>440263</v>
      </c>
      <c r="D9" s="681">
        <v>0</v>
      </c>
      <c r="E9" s="681">
        <v>0</v>
      </c>
      <c r="F9" s="681">
        <v>65699</v>
      </c>
      <c r="G9" s="682"/>
      <c r="H9" s="683"/>
      <c r="K9" s="5"/>
    </row>
    <row r="10" spans="1:11" ht="18" customHeight="1">
      <c r="A10" s="679" t="s">
        <v>246</v>
      </c>
      <c r="B10" s="680">
        <v>3</v>
      </c>
      <c r="C10" s="681">
        <v>437839</v>
      </c>
      <c r="D10" s="681">
        <v>0</v>
      </c>
      <c r="E10" s="681">
        <v>0</v>
      </c>
      <c r="F10" s="681">
        <v>68033</v>
      </c>
      <c r="G10" s="682"/>
      <c r="H10" s="683"/>
      <c r="K10" s="5"/>
    </row>
    <row r="11" spans="1:11" ht="18" customHeight="1">
      <c r="A11" s="684" t="s">
        <v>1497</v>
      </c>
      <c r="B11" s="680">
        <v>4</v>
      </c>
      <c r="C11" s="685">
        <f t="shared" ref="C11:H11" si="0">(C9-C10)</f>
        <v>2424</v>
      </c>
      <c r="D11" s="685">
        <f t="shared" si="0"/>
        <v>0</v>
      </c>
      <c r="E11" s="685">
        <f t="shared" si="0"/>
        <v>0</v>
      </c>
      <c r="F11" s="685">
        <f t="shared" si="0"/>
        <v>-2334</v>
      </c>
      <c r="G11" s="685">
        <f t="shared" si="0"/>
        <v>0</v>
      </c>
      <c r="H11" s="686">
        <f t="shared" si="0"/>
        <v>0</v>
      </c>
    </row>
    <row r="12" spans="1:11" ht="18" customHeight="1">
      <c r="A12" s="687" t="s">
        <v>248</v>
      </c>
      <c r="B12" s="680">
        <v>5</v>
      </c>
      <c r="C12" s="685"/>
      <c r="D12" s="685"/>
      <c r="E12" s="685"/>
      <c r="F12" s="685"/>
      <c r="G12" s="685"/>
      <c r="H12" s="688"/>
    </row>
    <row r="13" spans="1:11" ht="18" customHeight="1">
      <c r="A13" s="679" t="s">
        <v>245</v>
      </c>
      <c r="B13" s="680">
        <v>6</v>
      </c>
      <c r="C13" s="685"/>
      <c r="D13" s="685"/>
      <c r="E13" s="685"/>
      <c r="F13" s="685"/>
      <c r="G13" s="685"/>
      <c r="H13" s="688"/>
    </row>
    <row r="14" spans="1:11" ht="18" customHeight="1">
      <c r="A14" s="679" t="s">
        <v>246</v>
      </c>
      <c r="B14" s="680">
        <v>7</v>
      </c>
      <c r="C14" s="685"/>
      <c r="D14" s="685"/>
      <c r="E14" s="689"/>
      <c r="F14" s="685"/>
      <c r="G14" s="685"/>
      <c r="H14" s="688"/>
    </row>
    <row r="15" spans="1:11" ht="18" customHeight="1">
      <c r="A15" s="684" t="s">
        <v>1498</v>
      </c>
      <c r="B15" s="680">
        <v>8</v>
      </c>
      <c r="C15" s="685">
        <f t="shared" ref="C15:H15" si="1">(C13-C14)</f>
        <v>0</v>
      </c>
      <c r="D15" s="685">
        <f t="shared" si="1"/>
        <v>0</v>
      </c>
      <c r="E15" s="685">
        <f t="shared" si="1"/>
        <v>0</v>
      </c>
      <c r="F15" s="685">
        <f t="shared" si="1"/>
        <v>0</v>
      </c>
      <c r="G15" s="685">
        <f t="shared" si="1"/>
        <v>0</v>
      </c>
      <c r="H15" s="686">
        <f t="shared" si="1"/>
        <v>0</v>
      </c>
    </row>
    <row r="16" spans="1:11" ht="18" customHeight="1">
      <c r="A16" s="687" t="s">
        <v>250</v>
      </c>
      <c r="B16" s="680">
        <v>9</v>
      </c>
      <c r="C16" s="685"/>
      <c r="D16" s="685"/>
      <c r="E16" s="685"/>
      <c r="F16" s="685"/>
      <c r="G16" s="685"/>
      <c r="H16" s="686"/>
    </row>
    <row r="17" spans="1:9" ht="18" customHeight="1">
      <c r="A17" s="679" t="s">
        <v>245</v>
      </c>
      <c r="B17" s="680">
        <v>10</v>
      </c>
      <c r="C17" s="685"/>
      <c r="D17" s="685"/>
      <c r="E17" s="685"/>
      <c r="F17" s="685"/>
      <c r="G17" s="685"/>
      <c r="H17" s="686"/>
    </row>
    <row r="18" spans="1:9" ht="18" customHeight="1">
      <c r="A18" s="679" t="s">
        <v>246</v>
      </c>
      <c r="B18" s="680">
        <v>11</v>
      </c>
      <c r="C18" s="685"/>
      <c r="D18" s="685"/>
      <c r="E18" s="685"/>
      <c r="F18" s="685"/>
      <c r="G18" s="685"/>
      <c r="H18" s="686"/>
    </row>
    <row r="19" spans="1:9" ht="18" customHeight="1">
      <c r="A19" s="684" t="s">
        <v>2291</v>
      </c>
      <c r="B19" s="680">
        <v>12</v>
      </c>
      <c r="C19" s="685">
        <f t="shared" ref="C19:H19" si="2">(C17-C18)</f>
        <v>0</v>
      </c>
      <c r="D19" s="685">
        <f t="shared" si="2"/>
        <v>0</v>
      </c>
      <c r="E19" s="685">
        <f t="shared" si="2"/>
        <v>0</v>
      </c>
      <c r="F19" s="685">
        <f t="shared" si="2"/>
        <v>0</v>
      </c>
      <c r="G19" s="685">
        <f t="shared" si="2"/>
        <v>0</v>
      </c>
      <c r="H19" s="686">
        <f t="shared" si="2"/>
        <v>0</v>
      </c>
    </row>
    <row r="20" spans="1:9" ht="25.5">
      <c r="A20" s="687" t="s">
        <v>1499</v>
      </c>
      <c r="B20" s="680">
        <v>13</v>
      </c>
      <c r="C20" s="685">
        <f t="shared" ref="C20:H20" si="3">(C11+C15+C19)</f>
        <v>2424</v>
      </c>
      <c r="D20" s="685">
        <f t="shared" si="3"/>
        <v>0</v>
      </c>
      <c r="E20" s="685">
        <f t="shared" si="3"/>
        <v>0</v>
      </c>
      <c r="F20" s="685">
        <f t="shared" si="3"/>
        <v>-2334</v>
      </c>
      <c r="G20" s="685">
        <f t="shared" si="3"/>
        <v>0</v>
      </c>
      <c r="H20" s="686">
        <f t="shared" si="3"/>
        <v>0</v>
      </c>
    </row>
    <row r="21" spans="1:9" ht="18" customHeight="1">
      <c r="A21" s="687" t="s">
        <v>253</v>
      </c>
      <c r="B21" s="680">
        <v>14</v>
      </c>
      <c r="C21" s="685"/>
      <c r="D21" s="685"/>
      <c r="E21" s="689"/>
      <c r="F21" s="3962">
        <v>18581</v>
      </c>
      <c r="G21" s="690"/>
      <c r="H21" s="683"/>
    </row>
    <row r="22" spans="1:9" ht="18" customHeight="1">
      <c r="A22" s="1652" t="s">
        <v>2116</v>
      </c>
      <c r="B22" s="1653" t="s">
        <v>254</v>
      </c>
      <c r="C22" s="1654"/>
      <c r="D22" s="1654"/>
      <c r="E22" s="1655"/>
      <c r="F22" s="1655"/>
      <c r="G22" s="1656"/>
      <c r="H22" s="1657"/>
    </row>
    <row r="23" spans="1:9" ht="18" customHeight="1">
      <c r="A23" s="1652" t="s">
        <v>2117</v>
      </c>
      <c r="B23" s="1653" t="s">
        <v>255</v>
      </c>
      <c r="C23" s="1654"/>
      <c r="D23" s="1654"/>
      <c r="E23" s="1655"/>
      <c r="F23" s="1655"/>
      <c r="G23" s="1656"/>
      <c r="H23" s="1657"/>
    </row>
    <row r="24" spans="1:9" ht="18" customHeight="1">
      <c r="A24" s="1652" t="s">
        <v>2118</v>
      </c>
      <c r="B24" s="1653" t="s">
        <v>256</v>
      </c>
      <c r="C24" s="1654"/>
      <c r="D24" s="1654"/>
      <c r="E24" s="1655"/>
      <c r="F24" s="1655"/>
      <c r="G24" s="1656"/>
      <c r="H24" s="1657"/>
    </row>
    <row r="25" spans="1:9" ht="25.5">
      <c r="A25" s="691" t="s">
        <v>257</v>
      </c>
      <c r="B25" s="692">
        <v>15</v>
      </c>
      <c r="C25" s="693">
        <f>C20+C21+C22-C23</f>
        <v>2424</v>
      </c>
      <c r="D25" s="693">
        <f t="shared" ref="D25:H25" si="4">(D20+D21)</f>
        <v>0</v>
      </c>
      <c r="E25" s="693">
        <f t="shared" si="4"/>
        <v>0</v>
      </c>
      <c r="F25" s="693">
        <f t="shared" si="4"/>
        <v>16247</v>
      </c>
      <c r="G25" s="694">
        <f>G20+G21+G22-G23</f>
        <v>0</v>
      </c>
      <c r="H25" s="695">
        <f t="shared" si="4"/>
        <v>0</v>
      </c>
    </row>
    <row r="26" spans="1:9">
      <c r="B26" s="696"/>
      <c r="C26" s="89"/>
    </row>
    <row r="27" spans="1:9" ht="15.75">
      <c r="A27" s="91"/>
      <c r="B27" s="70"/>
      <c r="C27" s="129" t="str">
        <f>IF(C9=0,"EROARE"," ")</f>
        <v xml:space="preserve"> </v>
      </c>
      <c r="D27" s="147"/>
      <c r="E27" s="1258"/>
      <c r="F27" s="4493"/>
      <c r="G27" s="4493"/>
      <c r="H27" s="4493"/>
      <c r="I27" s="61"/>
    </row>
    <row r="28" spans="1:9" ht="15.75" customHeight="1">
      <c r="A28" s="4003" t="str">
        <f>'ANEXA 1'!B94</f>
        <v>DIRECTOR  GENERAL,</v>
      </c>
      <c r="B28" s="4003"/>
      <c r="C28" s="129" t="str">
        <f>IF(C10=0,"EROARE"," ")</f>
        <v xml:space="preserve"> </v>
      </c>
      <c r="E28" s="4003" t="str">
        <f>'ANEXA 1'!D94</f>
        <v>DIRECTOR  EXECUTIV  ECONOMIC,</v>
      </c>
      <c r="F28" s="4003"/>
      <c r="G28" s="4003"/>
      <c r="H28" s="67"/>
    </row>
    <row r="29" spans="1:9" ht="15.75">
      <c r="A29" s="91"/>
      <c r="C29" s="1658" t="str">
        <f>IF(C25&lt;&gt;0,"EROARE"," ")</f>
        <v>EROARE</v>
      </c>
      <c r="D29" s="147"/>
      <c r="E29" s="147"/>
      <c r="F29" s="291"/>
      <c r="G29" s="291"/>
      <c r="H29" s="926"/>
      <c r="I29" s="59"/>
    </row>
    <row r="30" spans="1:9" ht="15.75">
      <c r="A30" s="4010" t="str">
        <f>'ANEXA 1'!B96</f>
        <v>EC.ALBU DRINA</v>
      </c>
      <c r="B30" s="4010"/>
      <c r="C30" s="2804"/>
      <c r="E30" s="4010" t="str">
        <f>'ANEXA 1'!D96</f>
        <v>EC.BIRCU FLORINA</v>
      </c>
      <c r="F30" s="4010"/>
      <c r="G30" s="4010"/>
    </row>
    <row r="31" spans="1:9" ht="14.25">
      <c r="A31" s="4009">
        <f>'ANEXA 1'!B97</f>
        <v>0</v>
      </c>
      <c r="B31" s="4009"/>
    </row>
    <row r="33" spans="1:8" ht="15">
      <c r="A33" s="4006">
        <f>+'ANEXA 1'!B99</f>
        <v>0</v>
      </c>
      <c r="B33" s="4006"/>
      <c r="E33" s="4001">
        <f>'ANEXA 1'!D99</f>
        <v>0</v>
      </c>
      <c r="F33" s="4001"/>
      <c r="G33" s="4001"/>
      <c r="H33" s="1584"/>
    </row>
    <row r="34" spans="1:8" ht="15">
      <c r="A34" s="1569"/>
      <c r="B34" s="719"/>
      <c r="F34" s="1388"/>
      <c r="G34" s="269"/>
      <c r="H34" s="269"/>
    </row>
    <row r="35" spans="1:8" ht="15">
      <c r="A35" s="4007">
        <f>+'ANEXA 1'!B101</f>
        <v>0</v>
      </c>
      <c r="B35" s="4007"/>
      <c r="E35" s="4001">
        <f>'ANEXA 1'!D101</f>
        <v>0</v>
      </c>
      <c r="F35" s="4001"/>
      <c r="G35" s="4001"/>
      <c r="H35" s="1584"/>
    </row>
    <row r="36" spans="1:8">
      <c r="F36" s="4491"/>
      <c r="G36" s="4491"/>
      <c r="H36" s="4491"/>
    </row>
  </sheetData>
  <sheetProtection password="CFDD" sheet="1" objects="1" scenarios="1"/>
  <mergeCells count="14">
    <mergeCell ref="A1:C1"/>
    <mergeCell ref="A2:H2"/>
    <mergeCell ref="F27:H27"/>
    <mergeCell ref="A28:B28"/>
    <mergeCell ref="E28:G28"/>
    <mergeCell ref="A3:H3"/>
    <mergeCell ref="F36:H36"/>
    <mergeCell ref="A31:B31"/>
    <mergeCell ref="A30:B30"/>
    <mergeCell ref="E30:G30"/>
    <mergeCell ref="E33:G33"/>
    <mergeCell ref="E35:G35"/>
    <mergeCell ref="A33:B33"/>
    <mergeCell ref="A35:B35"/>
  </mergeCells>
  <phoneticPr fontId="0" type="noConversion"/>
  <dataValidations count="1">
    <dataValidation type="whole" allowBlank="1" showErrorMessage="1" sqref="C8:G25">
      <formula1>-9.99999999999999E+25</formula1>
      <formula2>9.99999999999999E+25</formula2>
    </dataValidation>
  </dataValidations>
  <pageMargins left="0.47244094488188981" right="0.19685039370078741" top="0.43307086614173229" bottom="0.19685039370078741" header="0.51181102362204722" footer="0.19685039370078741"/>
  <pageSetup paperSize="9" scale="85" firstPageNumber="0" orientation="landscape" r:id="rId1"/>
  <headerFooter alignWithMargins="0">
    <oddFooter>&amp;C&amp;A&amp;RPage &amp;P</oddFooter>
  </headerFooter>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tabColor rgb="FFF2DCDB"/>
  </sheetPr>
  <dimension ref="A1:H41"/>
  <sheetViews>
    <sheetView showZeros="0" topLeftCell="A19" workbookViewId="0">
      <selection activeCell="E27" sqref="E27"/>
    </sheetView>
  </sheetViews>
  <sheetFormatPr defaultColWidth="9.140625" defaultRowHeight="12.75"/>
  <cols>
    <col min="1" max="1" width="42" style="92" customWidth="1"/>
    <col min="2" max="2" width="5.28515625" style="93" customWidth="1"/>
    <col min="3" max="3" width="15.28515625" style="94" customWidth="1"/>
    <col min="4" max="5" width="16.140625" style="95" customWidth="1"/>
    <col min="6" max="6" width="9.140625" style="92"/>
    <col min="7" max="7" width="9.140625" style="96"/>
    <col min="8" max="16384" width="9.140625" style="92"/>
  </cols>
  <sheetData>
    <row r="1" spans="1:7" ht="15">
      <c r="A1" s="3989" t="str">
        <f>'ANEXA 1'!A1</f>
        <v>CASA  DE  ASIGURĂRI  DE  SĂNĂTATE MEHEDINTI</v>
      </c>
      <c r="B1" s="3989"/>
      <c r="C1" s="3989"/>
      <c r="D1" s="3989"/>
      <c r="E1" s="3989"/>
    </row>
    <row r="2" spans="1:7">
      <c r="A2" s="97"/>
    </row>
    <row r="3" spans="1:7">
      <c r="A3" s="97"/>
    </row>
    <row r="5" spans="1:7" ht="15">
      <c r="A5" s="4013" t="s">
        <v>2175</v>
      </c>
      <c r="B5" s="4013"/>
      <c r="C5" s="4013"/>
      <c r="D5" s="4013"/>
      <c r="E5" s="4013"/>
    </row>
    <row r="6" spans="1:7" ht="15">
      <c r="A6" s="4016" t="str">
        <f>'ANEXA 1'!A12</f>
        <v>la  data  de  30  IUNIE  2023</v>
      </c>
      <c r="B6" s="4016"/>
      <c r="C6" s="4016"/>
      <c r="D6" s="4016"/>
      <c r="E6" s="4016"/>
    </row>
    <row r="8" spans="1:7" ht="14.25">
      <c r="A8" s="97" t="s">
        <v>258</v>
      </c>
      <c r="E8" s="98" t="s">
        <v>179</v>
      </c>
    </row>
    <row r="9" spans="1:7" ht="45">
      <c r="A9" s="99" t="s">
        <v>181</v>
      </c>
      <c r="B9" s="100" t="s">
        <v>230</v>
      </c>
      <c r="C9" s="101" t="s">
        <v>259</v>
      </c>
      <c r="D9" s="102" t="s">
        <v>260</v>
      </c>
      <c r="E9" s="103" t="s">
        <v>261</v>
      </c>
    </row>
    <row r="10" spans="1:7">
      <c r="A10" s="104" t="s">
        <v>92</v>
      </c>
      <c r="B10" s="105" t="s">
        <v>93</v>
      </c>
      <c r="C10" s="106">
        <v>1</v>
      </c>
      <c r="D10" s="107">
        <v>2</v>
      </c>
      <c r="E10" s="108">
        <v>3</v>
      </c>
      <c r="G10" s="109"/>
    </row>
    <row r="11" spans="1:7" ht="33" customHeight="1">
      <c r="A11" s="110" t="s">
        <v>244</v>
      </c>
      <c r="B11" s="111">
        <v>1</v>
      </c>
      <c r="C11" s="112"/>
      <c r="D11" s="113"/>
      <c r="E11" s="114"/>
    </row>
    <row r="12" spans="1:7">
      <c r="A12" s="115" t="s">
        <v>245</v>
      </c>
      <c r="B12" s="116">
        <v>2</v>
      </c>
      <c r="C12" s="117">
        <f>ROUND(D12+E12,1)</f>
        <v>1850</v>
      </c>
      <c r="D12" s="118">
        <f>'COD 04'!D12</f>
        <v>0</v>
      </c>
      <c r="E12" s="119">
        <f>'COD 04'!E12+'COD 04'!F12</f>
        <v>1850</v>
      </c>
    </row>
    <row r="13" spans="1:7">
      <c r="A13" s="115" t="s">
        <v>246</v>
      </c>
      <c r="B13" s="116">
        <v>3</v>
      </c>
      <c r="C13" s="117">
        <f>ROUND(D13+E13,1)</f>
        <v>0</v>
      </c>
      <c r="D13" s="118">
        <f>'COD 04'!D13</f>
        <v>0</v>
      </c>
      <c r="E13" s="119">
        <f>'COD 04'!E13+'COD 04'!F13</f>
        <v>0</v>
      </c>
    </row>
    <row r="14" spans="1:7" ht="25.5">
      <c r="A14" s="120" t="s">
        <v>247</v>
      </c>
      <c r="B14" s="116">
        <v>4</v>
      </c>
      <c r="C14" s="117">
        <f>ROUND(C12-C13,1)</f>
        <v>1850</v>
      </c>
      <c r="D14" s="121">
        <f>ROUND(D12-D13,1)</f>
        <v>0</v>
      </c>
      <c r="E14" s="122">
        <f>ROUND(E12-E13,1)</f>
        <v>1850</v>
      </c>
    </row>
    <row r="15" spans="1:7" ht="25.5">
      <c r="A15" s="123" t="s">
        <v>248</v>
      </c>
      <c r="B15" s="116">
        <v>5</v>
      </c>
      <c r="C15" s="117"/>
      <c r="D15" s="121"/>
      <c r="E15" s="122"/>
    </row>
    <row r="16" spans="1:7">
      <c r="A16" s="115" t="s">
        <v>245</v>
      </c>
      <c r="B16" s="116">
        <v>6</v>
      </c>
      <c r="C16" s="117">
        <f>ROUND(D16+E16,1)</f>
        <v>0</v>
      </c>
      <c r="D16" s="121"/>
      <c r="E16" s="122"/>
    </row>
    <row r="17" spans="1:7">
      <c r="A17" s="115" t="s">
        <v>246</v>
      </c>
      <c r="B17" s="116">
        <v>7</v>
      </c>
      <c r="C17" s="117">
        <f>ROUND(D17+E17,1)</f>
        <v>0</v>
      </c>
      <c r="D17" s="121"/>
      <c r="E17" s="122"/>
    </row>
    <row r="18" spans="1:7" ht="25.5">
      <c r="A18" s="120" t="s">
        <v>262</v>
      </c>
      <c r="B18" s="116">
        <v>8</v>
      </c>
      <c r="C18" s="117">
        <f>ROUND(C16-C17,1)</f>
        <v>0</v>
      </c>
      <c r="D18" s="121">
        <f>ROUND(D16-D17,1)</f>
        <v>0</v>
      </c>
      <c r="E18" s="122">
        <f>ROUND(E16-E17,1)</f>
        <v>0</v>
      </c>
    </row>
    <row r="19" spans="1:7" ht="25.5">
      <c r="A19" s="123" t="s">
        <v>250</v>
      </c>
      <c r="B19" s="116">
        <v>9</v>
      </c>
      <c r="C19" s="117"/>
      <c r="D19" s="121"/>
      <c r="E19" s="122"/>
    </row>
    <row r="20" spans="1:7">
      <c r="A20" s="115" t="s">
        <v>245</v>
      </c>
      <c r="B20" s="116">
        <v>10</v>
      </c>
      <c r="C20" s="117">
        <f>ROUND(D20+E20,1)</f>
        <v>0</v>
      </c>
      <c r="D20" s="121"/>
      <c r="E20" s="122"/>
    </row>
    <row r="21" spans="1:7">
      <c r="A21" s="115" t="s">
        <v>246</v>
      </c>
      <c r="B21" s="116">
        <v>11</v>
      </c>
      <c r="C21" s="117">
        <f>ROUND(D21+E21,1)</f>
        <v>0</v>
      </c>
      <c r="D21" s="121"/>
      <c r="E21" s="122"/>
    </row>
    <row r="22" spans="1:7" ht="25.5">
      <c r="A22" s="120" t="s">
        <v>263</v>
      </c>
      <c r="B22" s="116">
        <v>12</v>
      </c>
      <c r="C22" s="117">
        <f>ROUND(C20-C21,1)</f>
        <v>0</v>
      </c>
      <c r="D22" s="121">
        <f>ROUND(D20-D21,1)</f>
        <v>0</v>
      </c>
      <c r="E22" s="122">
        <f>ROUND(E20-E21,1)</f>
        <v>0</v>
      </c>
    </row>
    <row r="23" spans="1:7" ht="38.25">
      <c r="A23" s="123" t="s">
        <v>264</v>
      </c>
      <c r="B23" s="116">
        <v>13</v>
      </c>
      <c r="C23" s="117">
        <f>ROUND(D23+E23,1)</f>
        <v>1850</v>
      </c>
      <c r="D23" s="121">
        <f>D14+D18+D22</f>
        <v>0</v>
      </c>
      <c r="E23" s="122">
        <f>E14+E18+E22</f>
        <v>1850</v>
      </c>
    </row>
    <row r="24" spans="1:7" ht="25.5">
      <c r="A24" s="123" t="s">
        <v>253</v>
      </c>
      <c r="B24" s="116">
        <v>14</v>
      </c>
      <c r="C24" s="117">
        <f>ROUND(D24+E24,1)</f>
        <v>10531</v>
      </c>
      <c r="D24" s="121">
        <f>'COD 04'!D24</f>
        <v>0</v>
      </c>
      <c r="E24" s="2502">
        <f>'COD 04'!E24+'COD 04'!F24</f>
        <v>10531</v>
      </c>
    </row>
    <row r="25" spans="1:7">
      <c r="A25" s="123" t="s">
        <v>265</v>
      </c>
      <c r="B25" s="116">
        <v>15</v>
      </c>
      <c r="C25" s="117"/>
      <c r="D25" s="121"/>
      <c r="E25" s="122"/>
    </row>
    <row r="26" spans="1:7">
      <c r="A26" s="123" t="s">
        <v>266</v>
      </c>
      <c r="B26" s="116">
        <v>16</v>
      </c>
      <c r="C26" s="117"/>
      <c r="D26" s="121"/>
      <c r="E26" s="122"/>
    </row>
    <row r="27" spans="1:7" ht="36" customHeight="1">
      <c r="A27" s="124" t="s">
        <v>267</v>
      </c>
      <c r="B27" s="125">
        <v>17</v>
      </c>
      <c r="C27" s="126">
        <f>ROUND(C23+C24+C25-C26,1)</f>
        <v>12381</v>
      </c>
      <c r="D27" s="127">
        <f>ROUND(D23+D24,1)</f>
        <v>0</v>
      </c>
      <c r="E27" s="128">
        <f>ROUND(E23+E24,1)</f>
        <v>12381</v>
      </c>
    </row>
    <row r="28" spans="1:7" ht="21" customHeight="1">
      <c r="C28" s="129" t="str">
        <f>IF('ANEXA 1'!D46&lt;&gt;C24,"EROARE"," ")</f>
        <v xml:space="preserve"> </v>
      </c>
    </row>
    <row r="29" spans="1:7" ht="17.25" customHeight="1">
      <c r="C29" s="1753" t="str">
        <f>IF('ANEXA 1'!E46&lt;&gt;C27,"EROARE"," ")</f>
        <v xml:space="preserve"> </v>
      </c>
      <c r="G29" s="92"/>
    </row>
    <row r="30" spans="1:7" ht="15.75">
      <c r="A30" s="130" t="str">
        <f>'ANEXA 1'!B94</f>
        <v>DIRECTOR  GENERAL,</v>
      </c>
      <c r="C30" s="4014" t="str">
        <f>'ANEXA 1'!D94</f>
        <v>DIRECTOR  EXECUTIV  ECONOMIC,</v>
      </c>
      <c r="D30" s="4014"/>
      <c r="E30" s="4014"/>
    </row>
    <row r="31" spans="1:7" ht="15.75">
      <c r="A31" s="1255"/>
      <c r="C31" s="1863"/>
      <c r="D31" s="1863"/>
      <c r="E31" s="1863"/>
    </row>
    <row r="32" spans="1:7" ht="15.75">
      <c r="A32" s="130" t="str">
        <f>'ANEXA 1'!B96</f>
        <v>EC.ALBU DRINA</v>
      </c>
      <c r="C32" s="4015" t="str">
        <f>'ANEXA 1'!D96</f>
        <v>EC.BIRCU FLORINA</v>
      </c>
      <c r="D32" s="4015"/>
      <c r="E32" s="4015"/>
    </row>
    <row r="33" spans="1:8" ht="15">
      <c r="A33" s="1057">
        <f>'ANEXA 1'!B97</f>
        <v>0</v>
      </c>
      <c r="C33" s="1864"/>
      <c r="D33" s="1865"/>
      <c r="E33" s="1865"/>
    </row>
    <row r="37" spans="1:8">
      <c r="D37" s="4001"/>
      <c r="E37" s="4001"/>
      <c r="F37" s="4001"/>
      <c r="G37" s="4001"/>
      <c r="H37" s="4001"/>
    </row>
    <row r="38" spans="1:8" ht="15">
      <c r="A38" s="1586">
        <f>+'ANEXA 1'!B99</f>
        <v>0</v>
      </c>
      <c r="C38" s="4001">
        <f>'ANEXA 1'!D99</f>
        <v>0</v>
      </c>
      <c r="D38" s="4001"/>
      <c r="E38" s="4001"/>
    </row>
    <row r="39" spans="1:8" ht="15">
      <c r="A39" s="1566"/>
      <c r="D39" s="1054"/>
    </row>
    <row r="40" spans="1:8" ht="15" customHeight="1">
      <c r="A40" s="1566">
        <f>+'ANEXA 1'!B101</f>
        <v>0</v>
      </c>
      <c r="C40" s="4001">
        <f>'ANEXA 1'!D101</f>
        <v>0</v>
      </c>
      <c r="D40" s="4001"/>
      <c r="E40" s="4001"/>
    </row>
    <row r="41" spans="1:8">
      <c r="D41" s="1059"/>
    </row>
  </sheetData>
  <sheetProtection password="CFDD" sheet="1" objects="1" scenarios="1"/>
  <mergeCells count="8">
    <mergeCell ref="C40:E40"/>
    <mergeCell ref="D37:H37"/>
    <mergeCell ref="A1:E1"/>
    <mergeCell ref="A5:E5"/>
    <mergeCell ref="C30:E30"/>
    <mergeCell ref="C32:E32"/>
    <mergeCell ref="C38:E38"/>
    <mergeCell ref="A6:E6"/>
  </mergeCells>
  <phoneticPr fontId="0" type="noConversion"/>
  <dataValidations count="1">
    <dataValidation type="whole" allowBlank="1" showErrorMessage="1" sqref="C11:E27">
      <formula1>-999999999999999000000</formula1>
      <formula2>9.99999999999999E+23</formula2>
    </dataValidation>
  </dataValidations>
  <printOptions horizontalCentered="1" verticalCentered="1"/>
  <pageMargins left="0.6692913385826772" right="0.35433070866141736" top="0.55118110236220474" bottom="0.47244094488188981" header="0.51181102362204722" footer="0.51181102362204722"/>
  <pageSetup paperSize="9" scale="90" firstPageNumber="0" orientation="portrait"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6">
    <tabColor indexed="24"/>
  </sheetPr>
  <dimension ref="A1:H43"/>
  <sheetViews>
    <sheetView showZeros="0" topLeftCell="A10" workbookViewId="0">
      <selection activeCell="K24" sqref="K24"/>
    </sheetView>
  </sheetViews>
  <sheetFormatPr defaultColWidth="9.140625" defaultRowHeight="12.75"/>
  <cols>
    <col min="1" max="1" width="42" style="48" customWidth="1"/>
    <col min="2" max="2" width="5.28515625" style="70" customWidth="1"/>
    <col min="3" max="3" width="15.28515625" style="71" customWidth="1"/>
    <col min="4" max="4" width="12" style="48" customWidth="1"/>
    <col min="5" max="5" width="16.140625" style="48" customWidth="1"/>
    <col min="6" max="6" width="15.42578125" style="48" customWidth="1"/>
    <col min="7" max="7" width="9.140625" style="48"/>
    <col min="8" max="8" width="9.140625" style="69"/>
    <col min="9" max="16384" width="9.140625" style="48"/>
  </cols>
  <sheetData>
    <row r="1" spans="1:8" ht="15">
      <c r="A1" s="3989" t="str">
        <f>'ANEXA 1'!A1</f>
        <v>CASA  DE  ASIGURĂRI  DE  SĂNĂTATE MEHEDINTI</v>
      </c>
      <c r="B1" s="3989"/>
      <c r="C1" s="3989"/>
      <c r="D1" s="3989"/>
      <c r="E1" s="3989"/>
      <c r="F1" s="697"/>
    </row>
    <row r="2" spans="1:8">
      <c r="A2" s="72"/>
    </row>
    <row r="3" spans="1:8">
      <c r="A3" s="72"/>
    </row>
    <row r="5" spans="1:8" ht="15">
      <c r="A5" s="4494" t="s">
        <v>2175</v>
      </c>
      <c r="B5" s="4494"/>
      <c r="C5" s="4494"/>
      <c r="D5" s="4494"/>
      <c r="E5" s="4494"/>
      <c r="F5" s="4494"/>
    </row>
    <row r="6" spans="1:8" ht="15">
      <c r="A6" s="4079" t="str">
        <f>'ANEXA 1'!A12</f>
        <v>la  data  de  30  IUNIE  2023</v>
      </c>
      <c r="B6" s="4079"/>
      <c r="C6" s="4079"/>
      <c r="D6" s="4079"/>
      <c r="E6" s="4079"/>
      <c r="F6" s="4079"/>
    </row>
    <row r="8" spans="1:8" ht="14.25">
      <c r="A8" s="72" t="s">
        <v>258</v>
      </c>
      <c r="F8" s="41" t="s">
        <v>179</v>
      </c>
    </row>
    <row r="9" spans="1:8" ht="67.5">
      <c r="A9" s="2342" t="s">
        <v>181</v>
      </c>
      <c r="B9" s="2343" t="s">
        <v>230</v>
      </c>
      <c r="C9" s="2344" t="s">
        <v>259</v>
      </c>
      <c r="D9" s="2345" t="s">
        <v>1500</v>
      </c>
      <c r="E9" s="2345" t="s">
        <v>1501</v>
      </c>
      <c r="F9" s="2345" t="s">
        <v>1502</v>
      </c>
    </row>
    <row r="10" spans="1:8">
      <c r="A10" s="2346" t="s">
        <v>92</v>
      </c>
      <c r="B10" s="2347" t="s">
        <v>93</v>
      </c>
      <c r="C10" s="2348">
        <v>1</v>
      </c>
      <c r="D10" s="2349">
        <v>2</v>
      </c>
      <c r="E10" s="2349">
        <v>3</v>
      </c>
      <c r="F10" s="2349">
        <v>4</v>
      </c>
      <c r="H10" s="698"/>
    </row>
    <row r="11" spans="1:8" ht="33" customHeight="1">
      <c r="A11" s="2357" t="s">
        <v>244</v>
      </c>
      <c r="B11" s="2365">
        <v>1</v>
      </c>
      <c r="C11" s="2362"/>
      <c r="D11" s="2353"/>
      <c r="E11" s="2353"/>
      <c r="F11" s="2354"/>
    </row>
    <row r="12" spans="1:8">
      <c r="A12" s="2358" t="s">
        <v>245</v>
      </c>
      <c r="B12" s="2366">
        <v>2</v>
      </c>
      <c r="C12" s="2363">
        <f>ROUND(D12+E12+F12,1)</f>
        <v>1850</v>
      </c>
      <c r="D12" s="2355"/>
      <c r="E12" s="2355"/>
      <c r="F12" s="2356">
        <v>1850</v>
      </c>
    </row>
    <row r="13" spans="1:8">
      <c r="A13" s="2358" t="s">
        <v>246</v>
      </c>
      <c r="B13" s="2366">
        <v>3</v>
      </c>
      <c r="C13" s="2363">
        <f>ROUND(D13+E13+F13,1)</f>
        <v>0</v>
      </c>
      <c r="D13" s="2355"/>
      <c r="E13" s="2355"/>
      <c r="F13" s="2356"/>
    </row>
    <row r="14" spans="1:8" ht="25.5">
      <c r="A14" s="2359" t="s">
        <v>1503</v>
      </c>
      <c r="B14" s="2366">
        <v>4</v>
      </c>
      <c r="C14" s="2363">
        <f>ROUND(C12-C13,1)</f>
        <v>1850</v>
      </c>
      <c r="D14" s="1860">
        <f>ROUND(D12-D13,1)</f>
        <v>0</v>
      </c>
      <c r="E14" s="1860">
        <f>ROUND(E12-E13,1)</f>
        <v>0</v>
      </c>
      <c r="F14" s="2350">
        <f>ROUND(F12-F13,1)</f>
        <v>1850</v>
      </c>
    </row>
    <row r="15" spans="1:8" ht="25.5">
      <c r="A15" s="2360" t="s">
        <v>248</v>
      </c>
      <c r="B15" s="2366">
        <v>5</v>
      </c>
      <c r="C15" s="2363"/>
      <c r="D15" s="1860"/>
      <c r="E15" s="1860"/>
      <c r="F15" s="2350"/>
    </row>
    <row r="16" spans="1:8">
      <c r="A16" s="2358" t="s">
        <v>245</v>
      </c>
      <c r="B16" s="2366">
        <v>6</v>
      </c>
      <c r="C16" s="2363">
        <f>ROUND(D16+E16+F16,1)</f>
        <v>0</v>
      </c>
      <c r="D16" s="1860"/>
      <c r="E16" s="1860"/>
      <c r="F16" s="2350"/>
    </row>
    <row r="17" spans="1:8">
      <c r="A17" s="2358" t="s">
        <v>246</v>
      </c>
      <c r="B17" s="2366">
        <v>7</v>
      </c>
      <c r="C17" s="2363">
        <f>ROUND(D17+E17+F17,1)</f>
        <v>0</v>
      </c>
      <c r="D17" s="1860"/>
      <c r="E17" s="1860"/>
      <c r="F17" s="2350"/>
    </row>
    <row r="18" spans="1:8" ht="25.5">
      <c r="A18" s="2359" t="s">
        <v>1504</v>
      </c>
      <c r="B18" s="2366">
        <v>8</v>
      </c>
      <c r="C18" s="2363">
        <f>ROUND(C16-C17,1)</f>
        <v>0</v>
      </c>
      <c r="D18" s="1860">
        <f>ROUND(D16-D17,1)</f>
        <v>0</v>
      </c>
      <c r="E18" s="1860">
        <f>ROUND(E16-E17,1)</f>
        <v>0</v>
      </c>
      <c r="F18" s="2350">
        <f>ROUND(F16-F17,1)</f>
        <v>0</v>
      </c>
    </row>
    <row r="19" spans="1:8" ht="25.5">
      <c r="A19" s="2360" t="s">
        <v>250</v>
      </c>
      <c r="B19" s="2366">
        <v>9</v>
      </c>
      <c r="C19" s="2363"/>
      <c r="D19" s="1860"/>
      <c r="E19" s="1860"/>
      <c r="F19" s="2350"/>
    </row>
    <row r="20" spans="1:8">
      <c r="A20" s="2358" t="s">
        <v>245</v>
      </c>
      <c r="B20" s="2366">
        <v>10</v>
      </c>
      <c r="C20" s="2363">
        <f>ROUND(D20+E20+F20,1)</f>
        <v>0</v>
      </c>
      <c r="D20" s="1860"/>
      <c r="E20" s="1860"/>
      <c r="F20" s="2350"/>
    </row>
    <row r="21" spans="1:8">
      <c r="A21" s="2358" t="s">
        <v>246</v>
      </c>
      <c r="B21" s="2366">
        <v>11</v>
      </c>
      <c r="C21" s="2363">
        <f>ROUND(D21+E21+F21,1)</f>
        <v>0</v>
      </c>
      <c r="D21" s="1860"/>
      <c r="E21" s="1860"/>
      <c r="F21" s="2350"/>
    </row>
    <row r="22" spans="1:8" ht="25.5">
      <c r="A22" s="2359" t="s">
        <v>1505</v>
      </c>
      <c r="B22" s="2366">
        <v>12</v>
      </c>
      <c r="C22" s="2363">
        <f>ROUND(C20-C21,1)</f>
        <v>0</v>
      </c>
      <c r="D22" s="1860">
        <f>ROUND(D20-D21,1)</f>
        <v>0</v>
      </c>
      <c r="E22" s="1860">
        <f>ROUND(E20-E21,1)</f>
        <v>0</v>
      </c>
      <c r="F22" s="2350">
        <f>ROUND(F20-F21,1)</f>
        <v>0</v>
      </c>
    </row>
    <row r="23" spans="1:8" ht="38.25">
      <c r="A23" s="2360" t="s">
        <v>1506</v>
      </c>
      <c r="B23" s="2366">
        <v>13</v>
      </c>
      <c r="C23" s="2363">
        <f>ROUND(D23+E23+F23,1)</f>
        <v>1850</v>
      </c>
      <c r="D23" s="1860">
        <f>D14+D18+D22</f>
        <v>0</v>
      </c>
      <c r="E23" s="1860">
        <f>E14+E18+E22</f>
        <v>0</v>
      </c>
      <c r="F23" s="2350">
        <f>F14+F18+F22</f>
        <v>1850</v>
      </c>
    </row>
    <row r="24" spans="1:8" ht="25.5">
      <c r="A24" s="2360" t="s">
        <v>253</v>
      </c>
      <c r="B24" s="2366">
        <v>14</v>
      </c>
      <c r="C24" s="2363">
        <f>ROUND(D24+E24+F24,1)</f>
        <v>10531</v>
      </c>
      <c r="D24" s="1860"/>
      <c r="E24" s="1860"/>
      <c r="F24" s="3963">
        <v>10531</v>
      </c>
    </row>
    <row r="25" spans="1:8">
      <c r="A25" s="2360" t="s">
        <v>265</v>
      </c>
      <c r="B25" s="2366">
        <v>15</v>
      </c>
      <c r="C25" s="2363"/>
      <c r="D25" s="1860"/>
      <c r="E25" s="1860"/>
      <c r="F25" s="2350"/>
    </row>
    <row r="26" spans="1:8" ht="16.899999999999999" customHeight="1">
      <c r="A26" s="2360" t="s">
        <v>266</v>
      </c>
      <c r="B26" s="2366">
        <v>16</v>
      </c>
      <c r="C26" s="2363"/>
      <c r="D26" s="1860"/>
      <c r="E26" s="1860"/>
      <c r="F26" s="2350"/>
    </row>
    <row r="27" spans="1:8" ht="30" customHeight="1">
      <c r="A27" s="2361" t="s">
        <v>267</v>
      </c>
      <c r="B27" s="2367">
        <v>17</v>
      </c>
      <c r="C27" s="2364">
        <f>ROUND(C23+C24+C25-C26,1)</f>
        <v>12381</v>
      </c>
      <c r="D27" s="2351">
        <f>ROUND(D23+D24,1)</f>
        <v>0</v>
      </c>
      <c r="E27" s="2351">
        <f>ROUND(E23+E24,1)</f>
        <v>0</v>
      </c>
      <c r="F27" s="2352">
        <f>ROUND(F23+F24,1)</f>
        <v>12381</v>
      </c>
    </row>
    <row r="29" spans="1:8" ht="15">
      <c r="D29" s="1258" t="str">
        <f>IF(D27&lt;&gt;0,"EROARE"," ")</f>
        <v xml:space="preserve"> </v>
      </c>
      <c r="E29" s="1658" t="str">
        <f>IF(E27&lt;&gt;0,"EROARE"," ")</f>
        <v xml:space="preserve"> </v>
      </c>
      <c r="F29" s="129" t="str">
        <f>IF(F27=0,"EROARE"," ")</f>
        <v xml:space="preserve"> </v>
      </c>
      <c r="H29" s="48"/>
    </row>
    <row r="30" spans="1:8" ht="15.75">
      <c r="A30" s="147"/>
      <c r="B30" s="147"/>
      <c r="C30" s="147"/>
      <c r="D30" s="1367"/>
      <c r="E30" s="1367"/>
      <c r="F30" s="1658" t="str">
        <f>IF(F27&lt;&gt;'ANEXA 14a'!F14,"EROARE"," ")</f>
        <v xml:space="preserve"> </v>
      </c>
      <c r="G30" s="61"/>
      <c r="H30" s="48"/>
    </row>
    <row r="31" spans="1:8" ht="15.75">
      <c r="A31" s="616"/>
      <c r="B31" s="617"/>
      <c r="C31" s="65"/>
      <c r="H31" s="48"/>
    </row>
    <row r="32" spans="1:8" ht="15.75" customHeight="1">
      <c r="A32" s="4495" t="str">
        <f>'ANEXA 1'!B94</f>
        <v>DIRECTOR  GENERAL,</v>
      </c>
      <c r="B32" s="4495"/>
      <c r="C32" s="59"/>
      <c r="D32" s="4003" t="str">
        <f>'ANEXA 1'!D94:E94</f>
        <v>DIRECTOR  EXECUTIV  ECONOMIC,</v>
      </c>
      <c r="E32" s="4003"/>
      <c r="F32" s="4003"/>
      <c r="H32" s="48"/>
    </row>
    <row r="33" spans="1:6" s="48" customFormat="1" ht="15">
      <c r="B33" s="70"/>
      <c r="C33" s="71"/>
      <c r="D33" s="322"/>
      <c r="E33" s="322"/>
      <c r="F33" s="322"/>
    </row>
    <row r="34" spans="1:6" s="48" customFormat="1" ht="15.75">
      <c r="A34" s="4010" t="str">
        <f>'ANEXA 1'!B96</f>
        <v>EC.ALBU DRINA</v>
      </c>
      <c r="B34" s="4010"/>
      <c r="C34" s="71"/>
      <c r="D34" s="4010" t="str">
        <f>'ANEXA 1'!D96:E96</f>
        <v>EC.BIRCU FLORINA</v>
      </c>
      <c r="E34" s="4010"/>
      <c r="F34" s="4010"/>
    </row>
    <row r="35" spans="1:6" s="48" customFormat="1" ht="14.25">
      <c r="A35" s="4009">
        <f>'ANEXA 1'!B97</f>
        <v>0</v>
      </c>
      <c r="B35" s="4009"/>
      <c r="C35" s="71"/>
    </row>
    <row r="38" spans="1:6" s="48" customFormat="1" ht="15">
      <c r="A38" s="4006">
        <f>+'ANEXA 1'!B99</f>
        <v>0</v>
      </c>
      <c r="B38" s="4007"/>
      <c r="C38" s="71"/>
      <c r="D38" s="4005">
        <f>'ANEXA 1'!D99:E99</f>
        <v>0</v>
      </c>
      <c r="E38" s="4005"/>
      <c r="F38" s="4005"/>
    </row>
    <row r="39" spans="1:6" s="48" customFormat="1" ht="15">
      <c r="A39" s="719"/>
      <c r="B39" s="1640"/>
      <c r="C39" s="71"/>
      <c r="D39" s="1466"/>
      <c r="E39" s="1054"/>
    </row>
    <row r="40" spans="1:6" s="48" customFormat="1" ht="15">
      <c r="A40" s="4007">
        <f>+'ANEXA 1'!B101</f>
        <v>0</v>
      </c>
      <c r="B40" s="4007"/>
      <c r="C40" s="71"/>
      <c r="D40" s="4005">
        <f>'ANEXA 1'!D101:E101</f>
        <v>0</v>
      </c>
      <c r="E40" s="4005"/>
      <c r="F40" s="4005"/>
    </row>
    <row r="41" spans="1:6" s="48" customFormat="1">
      <c r="B41" s="70"/>
      <c r="C41" s="71"/>
      <c r="E41" s="1054"/>
    </row>
    <row r="42" spans="1:6" s="48" customFormat="1">
      <c r="B42" s="70"/>
      <c r="C42" s="71"/>
      <c r="E42" s="1059"/>
    </row>
    <row r="43" spans="1:6" s="48" customFormat="1" ht="15" customHeight="1">
      <c r="B43" s="70"/>
      <c r="C43" s="71"/>
    </row>
  </sheetData>
  <sheetProtection password="CFDD" sheet="1" objects="1" scenarios="1"/>
  <mergeCells count="12">
    <mergeCell ref="D38:F38"/>
    <mergeCell ref="D40:F40"/>
    <mergeCell ref="A1:E1"/>
    <mergeCell ref="A5:F5"/>
    <mergeCell ref="D32:F32"/>
    <mergeCell ref="D34:F34"/>
    <mergeCell ref="A32:B32"/>
    <mergeCell ref="A34:B34"/>
    <mergeCell ref="A38:B38"/>
    <mergeCell ref="A40:B40"/>
    <mergeCell ref="A6:F6"/>
    <mergeCell ref="A35:B35"/>
  </mergeCells>
  <phoneticPr fontId="0" type="noConversion"/>
  <dataValidations count="1">
    <dataValidation type="whole" allowBlank="1" showErrorMessage="1" sqref="C11:F27">
      <formula1>-999999999999999000000</formula1>
      <formula2>9.99999999999999E+23</formula2>
    </dataValidation>
  </dataValidations>
  <printOptions horizontalCentered="1" verticalCentered="1"/>
  <pageMargins left="0.51181102362204722" right="0.35433070866141736" top="0.55118110236220474" bottom="0.47244094488188981" header="0.51181102362204722" footer="0.51181102362204722"/>
  <pageSetup paperSize="9" scale="87" firstPageNumber="0" orientation="portrait" r:id="rId1"/>
  <headerFooter alignWithMargins="0">
    <oddFooter>&amp;A&amp;RPagina &amp;P</oddFooter>
  </headerFooter>
  <colBreaks count="1" manualBreakCount="1">
    <brk id="6" max="1048575" man="1"/>
  </colBreaks>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37">
    <tabColor rgb="FF9999FF"/>
  </sheetPr>
  <dimension ref="A1:M289"/>
  <sheetViews>
    <sheetView showZeros="0" topLeftCell="A267" zoomScaleNormal="100" workbookViewId="0">
      <selection activeCell="J118" sqref="J118"/>
    </sheetView>
  </sheetViews>
  <sheetFormatPr defaultColWidth="9.140625" defaultRowHeight="12.75"/>
  <cols>
    <col min="1" max="1" width="37.28515625" style="1167" customWidth="1"/>
    <col min="2" max="2" width="13.7109375" style="1167" customWidth="1"/>
    <col min="3" max="3" width="17.140625" style="2224" customWidth="1"/>
    <col min="4" max="4" width="15.42578125" style="2224" customWidth="1"/>
    <col min="5" max="5" width="18.5703125" style="2224" customWidth="1"/>
    <col min="6" max="6" width="7.140625" style="700" customWidth="1"/>
    <col min="7" max="7" width="7.5703125" style="700" customWidth="1"/>
    <col min="8" max="8" width="13" style="2236" customWidth="1"/>
    <col min="9" max="9" width="6.85546875" style="2236" customWidth="1"/>
    <col min="10" max="16384" width="9.140625" style="2224"/>
  </cols>
  <sheetData>
    <row r="1" spans="1:10" ht="15">
      <c r="A1" s="4498" t="str">
        <f>'ANEXA 1'!A1</f>
        <v>CASA  DE  ASIGURĂRI  DE  SĂNĂTATE MEHEDINTI</v>
      </c>
      <c r="B1" s="4498"/>
      <c r="C1" s="4498"/>
      <c r="D1" s="4498"/>
      <c r="E1" s="4498"/>
      <c r="H1" s="700"/>
      <c r="I1" s="700"/>
    </row>
    <row r="2" spans="1:10" ht="15">
      <c r="A2" s="1043"/>
      <c r="B2" s="1043"/>
      <c r="C2" s="701"/>
      <c r="D2" s="701"/>
      <c r="E2" s="701"/>
      <c r="H2" s="700"/>
      <c r="I2" s="700"/>
    </row>
    <row r="3" spans="1:10" s="1774" customFormat="1">
      <c r="A3" s="4499" t="s">
        <v>1507</v>
      </c>
      <c r="B3" s="4499"/>
      <c r="C3" s="4499"/>
      <c r="D3" s="4499"/>
      <c r="E3" s="4499"/>
      <c r="F3" s="700"/>
      <c r="G3" s="700"/>
      <c r="H3" s="700"/>
      <c r="I3" s="700"/>
    </row>
    <row r="4" spans="1:10" s="1774" customFormat="1">
      <c r="A4" s="4500" t="str">
        <f>'ANEXA 1'!A12</f>
        <v>la  data  de  30  IUNIE  2023</v>
      </c>
      <c r="B4" s="4500"/>
      <c r="C4" s="4500"/>
      <c r="D4" s="4500"/>
      <c r="E4" s="4500"/>
      <c r="F4" s="700"/>
      <c r="G4" s="700"/>
      <c r="H4" s="700"/>
      <c r="I4" s="700"/>
    </row>
    <row r="5" spans="1:10" s="1774" customFormat="1">
      <c r="A5" s="3353" t="s">
        <v>806</v>
      </c>
      <c r="B5" s="1164"/>
      <c r="C5" s="1168"/>
      <c r="D5" s="1168"/>
      <c r="E5" s="2225" t="s">
        <v>271</v>
      </c>
      <c r="F5" s="704"/>
      <c r="G5" s="700"/>
      <c r="H5" s="700"/>
      <c r="I5" s="700"/>
    </row>
    <row r="6" spans="1:10" s="1774" customFormat="1" ht="19.5" customHeight="1" thickBot="1">
      <c r="A6" s="4501" t="s">
        <v>807</v>
      </c>
      <c r="B6" s="4501" t="s">
        <v>808</v>
      </c>
      <c r="C6" s="4503" t="s">
        <v>813</v>
      </c>
      <c r="D6" s="4505" t="s">
        <v>1508</v>
      </c>
      <c r="E6" s="4501" t="s">
        <v>1509</v>
      </c>
      <c r="F6" s="700"/>
      <c r="G6" s="700"/>
      <c r="H6" s="700"/>
      <c r="I6" s="700"/>
    </row>
    <row r="7" spans="1:10" s="1774" customFormat="1" ht="28.5" customHeight="1">
      <c r="A7" s="4502"/>
      <c r="B7" s="4502"/>
      <c r="C7" s="4504"/>
      <c r="D7" s="4506"/>
      <c r="E7" s="4502"/>
      <c r="F7" s="700"/>
      <c r="G7" s="700"/>
      <c r="H7" s="700"/>
      <c r="I7" s="700"/>
    </row>
    <row r="8" spans="1:10" s="2226" customFormat="1" ht="11.25" customHeight="1">
      <c r="A8" s="3354" t="s">
        <v>92</v>
      </c>
      <c r="B8" s="2239" t="s">
        <v>93</v>
      </c>
      <c r="C8" s="2240">
        <v>1</v>
      </c>
      <c r="D8" s="2241">
        <v>2</v>
      </c>
      <c r="E8" s="2238" t="s">
        <v>1476</v>
      </c>
      <c r="F8" s="1921"/>
      <c r="G8" s="1921"/>
      <c r="H8" s="1921"/>
      <c r="I8" s="1921"/>
    </row>
    <row r="9" spans="1:10" s="2227" customFormat="1" ht="18" customHeight="1">
      <c r="A9" s="3355" t="s">
        <v>816</v>
      </c>
      <c r="B9" s="2501" t="s">
        <v>817</v>
      </c>
      <c r="C9" s="2242">
        <f>C11+C269</f>
        <v>239916808</v>
      </c>
      <c r="D9" s="2242">
        <f>D11+D269</f>
        <v>-181653</v>
      </c>
      <c r="E9" s="2243">
        <f t="shared" ref="E9:E72" si="0">C9+D9</f>
        <v>239735155</v>
      </c>
      <c r="F9" s="705"/>
      <c r="G9" s="705"/>
      <c r="H9" s="705"/>
      <c r="I9" s="705"/>
      <c r="J9" s="705"/>
    </row>
    <row r="10" spans="1:10" s="2227" customFormat="1" ht="18" customHeight="1">
      <c r="A10" s="3356" t="s">
        <v>872</v>
      </c>
      <c r="B10" s="3072" t="s">
        <v>1510</v>
      </c>
      <c r="C10" s="3073">
        <f>C99</f>
        <v>0</v>
      </c>
      <c r="D10" s="3073">
        <f>D99</f>
        <v>0</v>
      </c>
      <c r="E10" s="3074">
        <f t="shared" si="0"/>
        <v>0</v>
      </c>
      <c r="F10" s="705"/>
      <c r="G10" s="705"/>
      <c r="H10" s="705"/>
      <c r="I10" s="705"/>
      <c r="J10" s="705"/>
    </row>
    <row r="11" spans="1:10" s="2227" customFormat="1" ht="18" customHeight="1">
      <c r="A11" s="3356" t="s">
        <v>820</v>
      </c>
      <c r="B11" s="3072" t="s">
        <v>821</v>
      </c>
      <c r="C11" s="3073">
        <f>C12+C34+C63+C66+C83+C96+C99</f>
        <v>230336297</v>
      </c>
      <c r="D11" s="3073">
        <f>D12+D34+D63+D66+D83+D96+D99</f>
        <v>-141119</v>
      </c>
      <c r="E11" s="3074">
        <f t="shared" si="0"/>
        <v>230195178</v>
      </c>
      <c r="F11" s="705"/>
      <c r="G11" s="705"/>
      <c r="H11" s="705"/>
      <c r="I11" s="705"/>
      <c r="J11" s="705"/>
    </row>
    <row r="12" spans="1:10" s="2227" customFormat="1" ht="18" customHeight="1">
      <c r="A12" s="3356" t="s">
        <v>1511</v>
      </c>
      <c r="B12" s="3072" t="s">
        <v>1512</v>
      </c>
      <c r="C12" s="3073">
        <f>C13+C23+C25</f>
        <v>2468566</v>
      </c>
      <c r="D12" s="3073">
        <f>D13+D23+D25</f>
        <v>-21349</v>
      </c>
      <c r="E12" s="3074">
        <f t="shared" si="0"/>
        <v>2447217</v>
      </c>
      <c r="F12" s="705"/>
      <c r="G12" s="705"/>
      <c r="H12" s="700"/>
      <c r="I12" s="700"/>
      <c r="J12" s="705"/>
    </row>
    <row r="13" spans="1:10" s="2227" customFormat="1" ht="18" customHeight="1">
      <c r="A13" s="3356" t="s">
        <v>1513</v>
      </c>
      <c r="B13" s="3072" t="s">
        <v>1514</v>
      </c>
      <c r="C13" s="3073">
        <f>SUM(C14:C21)</f>
        <v>2350207</v>
      </c>
      <c r="D13" s="3073">
        <f>SUM(D14:D21)</f>
        <v>-21349</v>
      </c>
      <c r="E13" s="3074">
        <f t="shared" si="0"/>
        <v>2328858</v>
      </c>
      <c r="F13" s="705"/>
      <c r="G13" s="705"/>
      <c r="H13" s="705"/>
      <c r="I13" s="705"/>
      <c r="J13" s="705"/>
    </row>
    <row r="14" spans="1:10" s="2228" customFormat="1" ht="18" customHeight="1">
      <c r="A14" s="3357" t="s">
        <v>863</v>
      </c>
      <c r="B14" s="3048" t="s">
        <v>1515</v>
      </c>
      <c r="C14" s="3050">
        <v>1880022</v>
      </c>
      <c r="D14" s="3050"/>
      <c r="E14" s="3051">
        <f t="shared" si="0"/>
        <v>1880022</v>
      </c>
      <c r="F14" s="705"/>
      <c r="G14" s="705"/>
      <c r="H14" s="705"/>
      <c r="I14" s="705"/>
      <c r="J14" s="705"/>
    </row>
    <row r="15" spans="1:10" s="2228" customFormat="1" ht="18" customHeight="1">
      <c r="A15" s="3357" t="s">
        <v>1849</v>
      </c>
      <c r="B15" s="3048" t="s">
        <v>1848</v>
      </c>
      <c r="C15" s="3050">
        <v>244624</v>
      </c>
      <c r="D15" s="3050"/>
      <c r="E15" s="3051">
        <f t="shared" si="0"/>
        <v>244624</v>
      </c>
      <c r="F15" s="705"/>
      <c r="G15" s="705"/>
      <c r="H15" s="705"/>
      <c r="I15" s="705"/>
      <c r="J15" s="705"/>
    </row>
    <row r="16" spans="1:10" s="2228" customFormat="1" ht="18" customHeight="1">
      <c r="A16" s="3357" t="s">
        <v>2052</v>
      </c>
      <c r="B16" s="3048" t="s">
        <v>2054</v>
      </c>
      <c r="C16" s="3050">
        <v>82214</v>
      </c>
      <c r="D16" s="3050"/>
      <c r="E16" s="3051">
        <f t="shared" si="0"/>
        <v>82214</v>
      </c>
      <c r="F16" s="705"/>
      <c r="G16" s="705"/>
      <c r="H16" s="705"/>
      <c r="I16" s="705"/>
      <c r="J16" s="705"/>
    </row>
    <row r="17" spans="1:13" s="2228" customFormat="1" ht="18" customHeight="1">
      <c r="A17" s="3357" t="s">
        <v>903</v>
      </c>
      <c r="B17" s="3048" t="s">
        <v>1516</v>
      </c>
      <c r="C17" s="3049">
        <v>6956</v>
      </c>
      <c r="D17" s="3050"/>
      <c r="E17" s="3051">
        <f t="shared" si="0"/>
        <v>6956</v>
      </c>
      <c r="F17" s="705"/>
      <c r="G17" s="705"/>
      <c r="H17" s="705"/>
      <c r="I17" s="705"/>
      <c r="J17" s="705"/>
    </row>
    <row r="18" spans="1:13" s="2228" customFormat="1" ht="18" customHeight="1">
      <c r="A18" s="3357" t="s">
        <v>2094</v>
      </c>
      <c r="B18" s="3048" t="s">
        <v>1517</v>
      </c>
      <c r="C18" s="3049"/>
      <c r="D18" s="3050"/>
      <c r="E18" s="3051">
        <f t="shared" si="0"/>
        <v>0</v>
      </c>
      <c r="F18" s="705"/>
      <c r="G18" s="705"/>
      <c r="H18" s="705"/>
      <c r="I18" s="705"/>
      <c r="J18" s="705"/>
    </row>
    <row r="19" spans="1:13" s="2228" customFormat="1" ht="18" customHeight="1">
      <c r="A19" s="3357" t="s">
        <v>905</v>
      </c>
      <c r="B19" s="3048" t="s">
        <v>1518</v>
      </c>
      <c r="C19" s="3049"/>
      <c r="D19" s="3050"/>
      <c r="E19" s="3051">
        <f t="shared" si="0"/>
        <v>0</v>
      </c>
      <c r="F19" s="705"/>
      <c r="G19" s="705"/>
      <c r="H19" s="705"/>
      <c r="I19" s="705"/>
      <c r="J19" s="705"/>
    </row>
    <row r="20" spans="1:13" s="2228" customFormat="1" ht="18" customHeight="1">
      <c r="A20" s="3357" t="s">
        <v>2091</v>
      </c>
      <c r="B20" s="3048" t="s">
        <v>2090</v>
      </c>
      <c r="C20" s="3049">
        <v>82944</v>
      </c>
      <c r="D20" s="3050"/>
      <c r="E20" s="3051">
        <f t="shared" si="0"/>
        <v>82944</v>
      </c>
      <c r="F20" s="705"/>
      <c r="G20" s="705"/>
      <c r="H20" s="705"/>
      <c r="I20" s="705"/>
      <c r="J20" s="705"/>
    </row>
    <row r="21" spans="1:13" s="2228" customFormat="1" ht="18" customHeight="1">
      <c r="A21" s="3357" t="s">
        <v>907</v>
      </c>
      <c r="B21" s="3048" t="s">
        <v>1519</v>
      </c>
      <c r="C21" s="3049">
        <v>53447</v>
      </c>
      <c r="D21" s="3969">
        <v>-21349</v>
      </c>
      <c r="E21" s="3051">
        <f t="shared" si="0"/>
        <v>32098</v>
      </c>
      <c r="F21" s="705"/>
      <c r="G21" s="705"/>
      <c r="H21" s="705"/>
      <c r="I21" s="705"/>
      <c r="J21" s="705"/>
    </row>
    <row r="22" spans="1:13" s="2228" customFormat="1" ht="18" customHeight="1">
      <c r="A22" s="3357" t="s">
        <v>1592</v>
      </c>
      <c r="B22" s="3048"/>
      <c r="C22" s="3968">
        <v>8733</v>
      </c>
      <c r="D22" s="3050"/>
      <c r="E22" s="3051">
        <f t="shared" si="0"/>
        <v>8733</v>
      </c>
      <c r="F22" s="705"/>
      <c r="G22" s="705"/>
      <c r="H22" s="705"/>
      <c r="I22" s="705"/>
      <c r="J22" s="705"/>
    </row>
    <row r="23" spans="1:13" s="2228" customFormat="1" ht="18" customHeight="1">
      <c r="A23" s="3132" t="s">
        <v>1852</v>
      </c>
      <c r="B23" s="3069" t="s">
        <v>1850</v>
      </c>
      <c r="C23" s="3075">
        <f>+C24</f>
        <v>63800</v>
      </c>
      <c r="D23" s="3073">
        <f>+D24</f>
        <v>0</v>
      </c>
      <c r="E23" s="3074">
        <f t="shared" si="0"/>
        <v>63800</v>
      </c>
      <c r="F23" s="705"/>
      <c r="G23" s="705"/>
      <c r="H23" s="705"/>
      <c r="I23" s="705"/>
      <c r="J23" s="705"/>
    </row>
    <row r="24" spans="1:13" s="2228" customFormat="1" ht="18" customHeight="1">
      <c r="A24" s="3357" t="s">
        <v>1853</v>
      </c>
      <c r="B24" s="3048" t="s">
        <v>1851</v>
      </c>
      <c r="C24" s="3049">
        <v>63800</v>
      </c>
      <c r="D24" s="3050"/>
      <c r="E24" s="3051">
        <f t="shared" si="0"/>
        <v>63800</v>
      </c>
      <c r="F24" s="705"/>
      <c r="G24" s="705"/>
      <c r="H24" s="705"/>
      <c r="I24" s="705"/>
      <c r="J24" s="705"/>
    </row>
    <row r="25" spans="1:13" s="2228" customFormat="1" ht="18" customHeight="1">
      <c r="A25" s="3358" t="s">
        <v>1520</v>
      </c>
      <c r="B25" s="3056" t="s">
        <v>1521</v>
      </c>
      <c r="C25" s="3073">
        <f>C26+C27+C28+C29+C30+C31+C33</f>
        <v>54559</v>
      </c>
      <c r="D25" s="3073">
        <f>D26+D27+D28+D29+D30+D31+D33</f>
        <v>0</v>
      </c>
      <c r="E25" s="3074">
        <f t="shared" si="0"/>
        <v>54559</v>
      </c>
      <c r="F25" s="705"/>
      <c r="G25" s="705"/>
      <c r="H25" s="705"/>
      <c r="I25" s="705"/>
      <c r="J25" s="705"/>
      <c r="M25" s="2229"/>
    </row>
    <row r="26" spans="1:13" s="2228" customFormat="1" ht="18" customHeight="1">
      <c r="A26" s="3357" t="s">
        <v>911</v>
      </c>
      <c r="B26" s="3048" t="s">
        <v>1522</v>
      </c>
      <c r="C26" s="3049">
        <v>1096</v>
      </c>
      <c r="D26" s="3050"/>
      <c r="E26" s="3051">
        <f t="shared" si="0"/>
        <v>1096</v>
      </c>
      <c r="F26" s="705"/>
      <c r="G26" s="705"/>
      <c r="H26" s="705"/>
      <c r="I26" s="705"/>
      <c r="J26" s="705"/>
      <c r="L26" s="2230"/>
    </row>
    <row r="27" spans="1:13" s="2228" customFormat="1" ht="18" customHeight="1">
      <c r="A27" s="3357" t="s">
        <v>1523</v>
      </c>
      <c r="B27" s="3048" t="s">
        <v>1524</v>
      </c>
      <c r="C27" s="3049">
        <v>35</v>
      </c>
      <c r="D27" s="3050"/>
      <c r="E27" s="3051">
        <f t="shared" si="0"/>
        <v>35</v>
      </c>
      <c r="F27" s="705"/>
      <c r="G27" s="705"/>
      <c r="H27" s="705"/>
      <c r="I27" s="705"/>
      <c r="J27" s="705"/>
    </row>
    <row r="28" spans="1:13" s="2228" customFormat="1" ht="18" customHeight="1">
      <c r="A28" s="3357" t="s">
        <v>1525</v>
      </c>
      <c r="B28" s="3048" t="s">
        <v>1526</v>
      </c>
      <c r="C28" s="3049">
        <v>361</v>
      </c>
      <c r="D28" s="3050"/>
      <c r="E28" s="3051">
        <f t="shared" si="0"/>
        <v>361</v>
      </c>
      <c r="F28" s="705"/>
      <c r="G28" s="705"/>
      <c r="H28" s="705"/>
      <c r="I28" s="705"/>
      <c r="J28" s="705"/>
    </row>
    <row r="29" spans="1:13" s="2228" customFormat="1" ht="24">
      <c r="A29" s="3357" t="s">
        <v>1527</v>
      </c>
      <c r="B29" s="3048" t="s">
        <v>1528</v>
      </c>
      <c r="C29" s="3049">
        <v>10</v>
      </c>
      <c r="D29" s="3050"/>
      <c r="E29" s="3051">
        <f t="shared" si="0"/>
        <v>10</v>
      </c>
      <c r="F29" s="705"/>
      <c r="G29" s="705"/>
      <c r="H29" s="705"/>
      <c r="I29" s="705"/>
      <c r="J29" s="705"/>
    </row>
    <row r="30" spans="1:13" s="2228" customFormat="1" ht="18" customHeight="1">
      <c r="A30" s="3357" t="s">
        <v>919</v>
      </c>
      <c r="B30" s="3048" t="s">
        <v>1529</v>
      </c>
      <c r="C30" s="3049">
        <v>59</v>
      </c>
      <c r="D30" s="3050"/>
      <c r="E30" s="3051">
        <f t="shared" si="0"/>
        <v>59</v>
      </c>
      <c r="F30" s="705"/>
      <c r="G30" s="705"/>
      <c r="H30" s="705"/>
      <c r="I30" s="705"/>
      <c r="J30" s="705"/>
    </row>
    <row r="31" spans="1:13" s="2228" customFormat="1" ht="18" customHeight="1">
      <c r="A31" s="3357" t="s">
        <v>2327</v>
      </c>
      <c r="B31" s="3048" t="s">
        <v>1854</v>
      </c>
      <c r="C31" s="3049">
        <v>52998</v>
      </c>
      <c r="D31" s="3050"/>
      <c r="E31" s="3051">
        <f t="shared" si="0"/>
        <v>52998</v>
      </c>
      <c r="F31" s="705"/>
      <c r="G31" s="705"/>
      <c r="H31" s="705"/>
      <c r="I31" s="705"/>
      <c r="J31" s="705"/>
    </row>
    <row r="32" spans="1:13" s="2228" customFormat="1" ht="18" customHeight="1">
      <c r="A32" s="3357" t="s">
        <v>1592</v>
      </c>
      <c r="B32" s="3048"/>
      <c r="C32" s="3049"/>
      <c r="D32" s="3050"/>
      <c r="E32" s="3051">
        <f t="shared" si="0"/>
        <v>0</v>
      </c>
      <c r="F32" s="705"/>
      <c r="G32" s="705"/>
      <c r="H32" s="705"/>
      <c r="I32" s="705"/>
      <c r="J32" s="705"/>
    </row>
    <row r="33" spans="1:10" s="2228" customFormat="1" ht="24">
      <c r="A33" s="3357" t="s">
        <v>1857</v>
      </c>
      <c r="B33" s="3048" t="s">
        <v>1855</v>
      </c>
      <c r="C33" s="3049"/>
      <c r="D33" s="3050"/>
      <c r="E33" s="3051">
        <f t="shared" si="0"/>
        <v>0</v>
      </c>
      <c r="F33" s="705"/>
      <c r="G33" s="705"/>
      <c r="H33" s="705"/>
      <c r="I33" s="705"/>
      <c r="J33" s="705"/>
    </row>
    <row r="34" spans="1:10" s="2228" customFormat="1" ht="18" customHeight="1">
      <c r="A34" s="3358" t="s">
        <v>1032</v>
      </c>
      <c r="B34" s="3056" t="s">
        <v>1033</v>
      </c>
      <c r="C34" s="3073">
        <f>+C35+C50+C49+C52+C55+C56+C57+C58+C59+C60</f>
        <v>167563941</v>
      </c>
      <c r="D34" s="3073">
        <f>+D35+D50+D49+D52+D55+D56+D57+D58+D59+D60</f>
        <v>-119770</v>
      </c>
      <c r="E34" s="3074">
        <f t="shared" si="0"/>
        <v>167444171</v>
      </c>
      <c r="F34" s="705"/>
      <c r="G34" s="705"/>
      <c r="H34" s="700"/>
      <c r="I34" s="700"/>
      <c r="J34" s="705"/>
    </row>
    <row r="35" spans="1:10" s="2228" customFormat="1" ht="18" customHeight="1">
      <c r="A35" s="3358" t="s">
        <v>1034</v>
      </c>
      <c r="B35" s="3056" t="s">
        <v>1035</v>
      </c>
      <c r="C35" s="3073">
        <f>+C36+C37+C38+C39+C40+C41+C42+C43+C46</f>
        <v>167525680</v>
      </c>
      <c r="D35" s="3073">
        <f>+D36+D37+D38+D39+D40+D41+D42+D43+D46</f>
        <v>-119770</v>
      </c>
      <c r="E35" s="3074">
        <f t="shared" si="0"/>
        <v>167405910</v>
      </c>
      <c r="F35" s="705"/>
      <c r="G35" s="705"/>
      <c r="H35" s="705"/>
      <c r="I35" s="705"/>
      <c r="J35" s="705"/>
    </row>
    <row r="36" spans="1:10" s="2228" customFormat="1" ht="18" customHeight="1">
      <c r="A36" s="3357" t="s">
        <v>923</v>
      </c>
      <c r="B36" s="3048" t="s">
        <v>1036</v>
      </c>
      <c r="C36" s="3049">
        <v>12869</v>
      </c>
      <c r="D36" s="3050"/>
      <c r="E36" s="3051">
        <f t="shared" si="0"/>
        <v>12869</v>
      </c>
      <c r="F36" s="705"/>
      <c r="G36" s="705"/>
      <c r="H36" s="705"/>
      <c r="I36" s="705"/>
      <c r="J36" s="705"/>
    </row>
    <row r="37" spans="1:10" s="2228" customFormat="1" ht="18" customHeight="1">
      <c r="A37" s="3357" t="s">
        <v>925</v>
      </c>
      <c r="B37" s="3048" t="s">
        <v>1037</v>
      </c>
      <c r="C37" s="3049">
        <v>3999</v>
      </c>
      <c r="D37" s="3050"/>
      <c r="E37" s="3051">
        <f t="shared" si="0"/>
        <v>3999</v>
      </c>
      <c r="F37" s="705"/>
      <c r="G37" s="705"/>
      <c r="H37" s="705"/>
      <c r="I37" s="705"/>
      <c r="J37" s="705"/>
    </row>
    <row r="38" spans="1:10" s="2228" customFormat="1" ht="18" customHeight="1">
      <c r="A38" s="3357" t="s">
        <v>1038</v>
      </c>
      <c r="B38" s="3048" t="s">
        <v>1039</v>
      </c>
      <c r="C38" s="3049">
        <v>68969</v>
      </c>
      <c r="D38" s="3050"/>
      <c r="E38" s="3051">
        <f t="shared" si="0"/>
        <v>68969</v>
      </c>
      <c r="F38" s="705"/>
      <c r="G38" s="705"/>
      <c r="H38" s="705"/>
      <c r="I38" s="705"/>
      <c r="J38" s="705"/>
    </row>
    <row r="39" spans="1:10" s="2228" customFormat="1" ht="18" customHeight="1">
      <c r="A39" s="3357" t="s">
        <v>929</v>
      </c>
      <c r="B39" s="3048" t="s">
        <v>1040</v>
      </c>
      <c r="C39" s="3049">
        <v>3997</v>
      </c>
      <c r="D39" s="3050"/>
      <c r="E39" s="3051">
        <f t="shared" si="0"/>
        <v>3997</v>
      </c>
      <c r="F39" s="705"/>
      <c r="G39" s="705"/>
      <c r="H39" s="705"/>
      <c r="I39" s="705"/>
      <c r="J39" s="705"/>
    </row>
    <row r="40" spans="1:10" s="2228" customFormat="1" ht="18" customHeight="1">
      <c r="A40" s="3357" t="s">
        <v>931</v>
      </c>
      <c r="B40" s="3048" t="s">
        <v>1041</v>
      </c>
      <c r="C40" s="3049"/>
      <c r="D40" s="3050"/>
      <c r="E40" s="3051">
        <f t="shared" si="0"/>
        <v>0</v>
      </c>
      <c r="F40" s="705"/>
      <c r="G40" s="705"/>
      <c r="H40" s="705"/>
      <c r="I40" s="705"/>
      <c r="J40" s="705"/>
    </row>
    <row r="41" spans="1:10" s="2228" customFormat="1" ht="18" customHeight="1">
      <c r="A41" s="3357" t="s">
        <v>933</v>
      </c>
      <c r="B41" s="3048" t="s">
        <v>1042</v>
      </c>
      <c r="C41" s="3049"/>
      <c r="D41" s="3050"/>
      <c r="E41" s="3051">
        <f t="shared" si="0"/>
        <v>0</v>
      </c>
      <c r="F41" s="705"/>
      <c r="G41" s="705"/>
      <c r="H41" s="705"/>
      <c r="I41" s="705"/>
      <c r="J41" s="705"/>
    </row>
    <row r="42" spans="1:10" s="2228" customFormat="1" ht="18" customHeight="1">
      <c r="A42" s="3357" t="s">
        <v>1043</v>
      </c>
      <c r="B42" s="3048" t="s">
        <v>1044</v>
      </c>
      <c r="C42" s="3049">
        <v>25784</v>
      </c>
      <c r="D42" s="3050"/>
      <c r="E42" s="3051">
        <f t="shared" si="0"/>
        <v>25784</v>
      </c>
      <c r="F42" s="705"/>
      <c r="G42" s="705"/>
      <c r="H42" s="705"/>
      <c r="I42" s="705"/>
      <c r="J42" s="705"/>
    </row>
    <row r="43" spans="1:10" s="2228" customFormat="1" ht="25.15" customHeight="1">
      <c r="A43" s="3358" t="s">
        <v>937</v>
      </c>
      <c r="B43" s="3048" t="s">
        <v>1045</v>
      </c>
      <c r="C43" s="3073">
        <f>+C44+C45</f>
        <v>167298226</v>
      </c>
      <c r="D43" s="3073">
        <f>+D44+D45</f>
        <v>-119770</v>
      </c>
      <c r="E43" s="3074">
        <f t="shared" si="0"/>
        <v>167178456</v>
      </c>
      <c r="F43" s="705"/>
      <c r="G43" s="705"/>
      <c r="H43" s="705"/>
      <c r="I43" s="705"/>
      <c r="J43" s="705"/>
    </row>
    <row r="44" spans="1:10" s="2231" customFormat="1" ht="24">
      <c r="A44" s="3359" t="s">
        <v>1046</v>
      </c>
      <c r="B44" s="3076" t="s">
        <v>1047</v>
      </c>
      <c r="C44" s="3077">
        <f>+C114+C203+C241+C244+C267+C268</f>
        <v>167295601</v>
      </c>
      <c r="D44" s="3077">
        <f>+D114+D203+D241+D244+D267+D268</f>
        <v>-119770</v>
      </c>
      <c r="E44" s="3051">
        <f t="shared" si="0"/>
        <v>167175831</v>
      </c>
      <c r="F44" s="705"/>
      <c r="G44" s="705"/>
      <c r="H44" s="705"/>
      <c r="I44" s="705"/>
      <c r="J44" s="705"/>
    </row>
    <row r="45" spans="1:10" s="2228" customFormat="1" ht="24">
      <c r="A45" s="3357" t="s">
        <v>1048</v>
      </c>
      <c r="B45" s="3048" t="s">
        <v>1049</v>
      </c>
      <c r="C45" s="3049">
        <v>2625</v>
      </c>
      <c r="D45" s="3050"/>
      <c r="E45" s="3051">
        <f t="shared" si="0"/>
        <v>2625</v>
      </c>
      <c r="F45" s="705"/>
      <c r="G45" s="705"/>
      <c r="H45" s="705"/>
      <c r="I45" s="705"/>
      <c r="J45" s="705"/>
    </row>
    <row r="46" spans="1:10" s="2228" customFormat="1" ht="25.5">
      <c r="A46" s="3116" t="s">
        <v>1793</v>
      </c>
      <c r="B46" s="3048" t="s">
        <v>1050</v>
      </c>
      <c r="C46" s="3049">
        <v>111836</v>
      </c>
      <c r="D46" s="3050"/>
      <c r="E46" s="3051">
        <f t="shared" si="0"/>
        <v>111836</v>
      </c>
      <c r="F46" s="705"/>
      <c r="G46" s="705"/>
      <c r="H46" s="705"/>
      <c r="I46" s="705"/>
      <c r="J46" s="705"/>
    </row>
    <row r="47" spans="1:10" s="2228" customFormat="1" ht="25.5">
      <c r="A47" s="3122" t="s">
        <v>1593</v>
      </c>
      <c r="B47" s="3048"/>
      <c r="C47" s="3049"/>
      <c r="D47" s="3050"/>
      <c r="E47" s="3051">
        <f t="shared" si="0"/>
        <v>0</v>
      </c>
      <c r="F47" s="705"/>
      <c r="G47" s="705"/>
      <c r="H47" s="705"/>
      <c r="I47" s="705"/>
      <c r="J47" s="705"/>
    </row>
    <row r="48" spans="1:10" s="2228" customFormat="1" ht="25.5">
      <c r="A48" s="3122" t="s">
        <v>1794</v>
      </c>
      <c r="B48" s="3048"/>
      <c r="C48" s="3049">
        <v>22836</v>
      </c>
      <c r="D48" s="3050"/>
      <c r="E48" s="3051">
        <f t="shared" si="0"/>
        <v>22836</v>
      </c>
      <c r="F48" s="705"/>
      <c r="G48" s="705"/>
      <c r="H48" s="2477" t="str">
        <f>IF(C48=0,"EROARE"," ")</f>
        <v xml:space="preserve"> </v>
      </c>
      <c r="I48" s="705"/>
      <c r="J48" s="705"/>
    </row>
    <row r="49" spans="1:10" s="2228" customFormat="1" ht="18" customHeight="1">
      <c r="A49" s="3357" t="s">
        <v>1051</v>
      </c>
      <c r="B49" s="3048" t="s">
        <v>1052</v>
      </c>
      <c r="C49" s="3049">
        <v>8881</v>
      </c>
      <c r="D49" s="3050"/>
      <c r="E49" s="3051">
        <f t="shared" si="0"/>
        <v>8881</v>
      </c>
      <c r="F49" s="705"/>
      <c r="G49" s="705"/>
      <c r="H49" s="705"/>
      <c r="I49" s="705"/>
      <c r="J49" s="705"/>
    </row>
    <row r="50" spans="1:10" s="2228" customFormat="1" ht="18" customHeight="1">
      <c r="A50" s="3358" t="s">
        <v>1053</v>
      </c>
      <c r="B50" s="3056" t="s">
        <v>1054</v>
      </c>
      <c r="C50" s="3073">
        <f>C51</f>
        <v>9217</v>
      </c>
      <c r="D50" s="3073">
        <f>D51</f>
        <v>0</v>
      </c>
      <c r="E50" s="3074">
        <f t="shared" si="0"/>
        <v>9217</v>
      </c>
      <c r="F50" s="705"/>
      <c r="G50" s="705"/>
      <c r="H50" s="705"/>
      <c r="I50" s="705"/>
      <c r="J50" s="705"/>
    </row>
    <row r="51" spans="1:10" s="2228" customFormat="1" ht="18" customHeight="1">
      <c r="A51" s="3357" t="s">
        <v>943</v>
      </c>
      <c r="B51" s="3048" t="s">
        <v>1055</v>
      </c>
      <c r="C51" s="3078">
        <v>9217</v>
      </c>
      <c r="D51" s="3050"/>
      <c r="E51" s="3051">
        <f t="shared" si="0"/>
        <v>9217</v>
      </c>
      <c r="F51" s="705"/>
      <c r="G51" s="705"/>
      <c r="H51" s="705"/>
      <c r="I51" s="705"/>
      <c r="J51" s="705"/>
    </row>
    <row r="52" spans="1:10" s="2228" customFormat="1" ht="18" customHeight="1">
      <c r="A52" s="3358" t="s">
        <v>1056</v>
      </c>
      <c r="B52" s="3056" t="s">
        <v>1057</v>
      </c>
      <c r="C52" s="3073">
        <f>C53+C54</f>
        <v>0</v>
      </c>
      <c r="D52" s="3073">
        <f>D53+D54</f>
        <v>0</v>
      </c>
      <c r="E52" s="3074">
        <f t="shared" si="0"/>
        <v>0</v>
      </c>
      <c r="F52" s="705"/>
      <c r="G52" s="705"/>
      <c r="H52" s="705"/>
      <c r="I52" s="705"/>
      <c r="J52" s="705"/>
    </row>
    <row r="53" spans="1:10" s="2228" customFormat="1" ht="18" customHeight="1">
      <c r="A53" s="3357" t="s">
        <v>1058</v>
      </c>
      <c r="B53" s="3048" t="s">
        <v>1059</v>
      </c>
      <c r="C53" s="3049"/>
      <c r="D53" s="3050"/>
      <c r="E53" s="3051">
        <f t="shared" si="0"/>
        <v>0</v>
      </c>
      <c r="F53" s="705"/>
      <c r="G53" s="705"/>
      <c r="H53" s="705"/>
      <c r="I53" s="705"/>
      <c r="J53" s="705"/>
    </row>
    <row r="54" spans="1:10" s="2228" customFormat="1" ht="18" customHeight="1">
      <c r="A54" s="3360" t="s">
        <v>1060</v>
      </c>
      <c r="B54" s="3101" t="s">
        <v>1061</v>
      </c>
      <c r="C54" s="3102"/>
      <c r="D54" s="3103"/>
      <c r="E54" s="3104">
        <f t="shared" si="0"/>
        <v>0</v>
      </c>
      <c r="F54" s="705"/>
      <c r="G54" s="705"/>
      <c r="H54" s="705"/>
      <c r="I54" s="705"/>
      <c r="J54" s="705"/>
    </row>
    <row r="55" spans="1:10" s="2228" customFormat="1" ht="18" customHeight="1">
      <c r="A55" s="3361" t="s">
        <v>951</v>
      </c>
      <c r="B55" s="2707" t="s">
        <v>1062</v>
      </c>
      <c r="C55" s="2708">
        <v>7021</v>
      </c>
      <c r="D55" s="2709"/>
      <c r="E55" s="2710">
        <f t="shared" si="0"/>
        <v>7021</v>
      </c>
      <c r="F55" s="705"/>
      <c r="G55" s="705"/>
      <c r="H55" s="705"/>
      <c r="I55" s="705"/>
      <c r="J55" s="705"/>
    </row>
    <row r="56" spans="1:10" s="2228" customFormat="1" ht="18" customHeight="1">
      <c r="A56" s="3362" t="s">
        <v>1530</v>
      </c>
      <c r="B56" s="3069" t="s">
        <v>1063</v>
      </c>
      <c r="C56" s="3070"/>
      <c r="D56" s="3071"/>
      <c r="E56" s="3079">
        <f t="shared" si="0"/>
        <v>0</v>
      </c>
      <c r="F56" s="705"/>
      <c r="G56" s="705"/>
      <c r="H56" s="705"/>
      <c r="I56" s="705"/>
      <c r="J56" s="705"/>
    </row>
    <row r="57" spans="1:10" s="2228" customFormat="1" ht="18" customHeight="1">
      <c r="A57" s="3132" t="s">
        <v>955</v>
      </c>
      <c r="B57" s="3069" t="s">
        <v>1064</v>
      </c>
      <c r="C57" s="3070"/>
      <c r="D57" s="3071"/>
      <c r="E57" s="3079">
        <f t="shared" si="0"/>
        <v>0</v>
      </c>
      <c r="F57" s="705"/>
      <c r="G57" s="705"/>
      <c r="H57" s="705"/>
      <c r="I57" s="705"/>
      <c r="J57" s="705"/>
    </row>
    <row r="58" spans="1:10" s="2228" customFormat="1" ht="18" customHeight="1">
      <c r="A58" s="3132" t="s">
        <v>957</v>
      </c>
      <c r="B58" s="3069" t="s">
        <v>1065</v>
      </c>
      <c r="C58" s="3070">
        <v>1000</v>
      </c>
      <c r="D58" s="3071"/>
      <c r="E58" s="3079">
        <f t="shared" si="0"/>
        <v>1000</v>
      </c>
      <c r="F58" s="705"/>
      <c r="G58" s="705"/>
      <c r="H58" s="705"/>
      <c r="I58" s="705"/>
      <c r="J58" s="705"/>
    </row>
    <row r="59" spans="1:10" s="2228" customFormat="1" ht="50.45" customHeight="1">
      <c r="A59" s="3132" t="s">
        <v>2093</v>
      </c>
      <c r="B59" s="3069" t="s">
        <v>2092</v>
      </c>
      <c r="C59" s="3070">
        <v>3162</v>
      </c>
      <c r="D59" s="3071"/>
      <c r="E59" s="3079">
        <f t="shared" si="0"/>
        <v>3162</v>
      </c>
      <c r="F59" s="705"/>
      <c r="G59" s="705"/>
      <c r="H59" s="705"/>
      <c r="I59" s="705"/>
      <c r="J59" s="705"/>
    </row>
    <row r="60" spans="1:10" s="2228" customFormat="1" ht="18" customHeight="1">
      <c r="A60" s="3358" t="s">
        <v>1066</v>
      </c>
      <c r="B60" s="3056" t="s">
        <v>1067</v>
      </c>
      <c r="C60" s="3073">
        <f>C61+C62</f>
        <v>8980</v>
      </c>
      <c r="D60" s="3073">
        <f>D61+D62</f>
        <v>0</v>
      </c>
      <c r="E60" s="3074">
        <f t="shared" si="0"/>
        <v>8980</v>
      </c>
      <c r="F60" s="705"/>
      <c r="G60" s="705"/>
      <c r="H60" s="705"/>
      <c r="I60" s="705"/>
      <c r="J60" s="705"/>
    </row>
    <row r="61" spans="1:10" s="2228" customFormat="1" ht="18" customHeight="1">
      <c r="A61" s="3357" t="s">
        <v>870</v>
      </c>
      <c r="B61" s="3048" t="s">
        <v>1068</v>
      </c>
      <c r="C61" s="3049">
        <v>8500</v>
      </c>
      <c r="D61" s="3050"/>
      <c r="E61" s="3051">
        <f t="shared" si="0"/>
        <v>8500</v>
      </c>
      <c r="F61" s="705"/>
      <c r="G61" s="705"/>
      <c r="H61" s="705"/>
      <c r="I61" s="705"/>
      <c r="J61" s="705"/>
    </row>
    <row r="62" spans="1:10" s="2228" customFormat="1" ht="18" customHeight="1">
      <c r="A62" s="3357" t="s">
        <v>960</v>
      </c>
      <c r="B62" s="3048" t="s">
        <v>1069</v>
      </c>
      <c r="C62" s="3049">
        <v>480</v>
      </c>
      <c r="D62" s="3050"/>
      <c r="E62" s="3051">
        <f t="shared" si="0"/>
        <v>480</v>
      </c>
      <c r="F62" s="705"/>
      <c r="G62" s="705"/>
      <c r="H62" s="705"/>
      <c r="I62" s="705"/>
      <c r="J62" s="705"/>
    </row>
    <row r="63" spans="1:10" s="2228" customFormat="1" ht="18" customHeight="1">
      <c r="A63" s="3358" t="s">
        <v>1531</v>
      </c>
      <c r="B63" s="3056" t="s">
        <v>1532</v>
      </c>
      <c r="C63" s="3080">
        <f>C64</f>
        <v>0</v>
      </c>
      <c r="D63" s="3080">
        <f>D64</f>
        <v>0</v>
      </c>
      <c r="E63" s="3074">
        <f t="shared" si="0"/>
        <v>0</v>
      </c>
      <c r="F63" s="705"/>
      <c r="G63" s="705"/>
      <c r="H63" s="705"/>
      <c r="I63" s="705"/>
      <c r="J63" s="705"/>
    </row>
    <row r="64" spans="1:10" s="2228" customFormat="1" ht="18" customHeight="1">
      <c r="A64" s="3358" t="s">
        <v>1533</v>
      </c>
      <c r="B64" s="3056" t="s">
        <v>1534</v>
      </c>
      <c r="C64" s="3080">
        <f>C65</f>
        <v>0</v>
      </c>
      <c r="D64" s="3080">
        <f>D65</f>
        <v>0</v>
      </c>
      <c r="E64" s="3074">
        <f t="shared" si="0"/>
        <v>0</v>
      </c>
      <c r="F64" s="705"/>
      <c r="G64" s="705"/>
      <c r="H64" s="705"/>
      <c r="I64" s="705"/>
      <c r="J64" s="705"/>
    </row>
    <row r="65" spans="1:10" s="2228" customFormat="1" ht="21" customHeight="1">
      <c r="A65" s="3357" t="s">
        <v>965</v>
      </c>
      <c r="B65" s="3048" t="s">
        <v>1535</v>
      </c>
      <c r="C65" s="3049"/>
      <c r="D65" s="3050"/>
      <c r="E65" s="3051">
        <f t="shared" si="0"/>
        <v>0</v>
      </c>
      <c r="F65" s="705"/>
      <c r="G65" s="705"/>
      <c r="H65" s="705"/>
      <c r="I65" s="705"/>
      <c r="J65" s="705"/>
    </row>
    <row r="66" spans="1:10" s="2228" customFormat="1" ht="38.25">
      <c r="A66" s="3111" t="s">
        <v>967</v>
      </c>
      <c r="B66" s="3081" t="s">
        <v>968</v>
      </c>
      <c r="C66" s="3075">
        <f>C67</f>
        <v>60303790</v>
      </c>
      <c r="D66" s="3082">
        <f>D67</f>
        <v>0</v>
      </c>
      <c r="E66" s="3074">
        <f t="shared" si="0"/>
        <v>60303790</v>
      </c>
      <c r="F66" s="705"/>
      <c r="G66" s="705"/>
      <c r="H66" s="705"/>
      <c r="I66" s="705"/>
      <c r="J66" s="705"/>
    </row>
    <row r="67" spans="1:10" s="2228" customFormat="1" ht="17.45" customHeight="1">
      <c r="A67" s="3146" t="s">
        <v>969</v>
      </c>
      <c r="B67" s="3083" t="s">
        <v>970</v>
      </c>
      <c r="C67" s="3075">
        <f>C68+C80</f>
        <v>60303790</v>
      </c>
      <c r="D67" s="3082">
        <f>D68+D80</f>
        <v>0</v>
      </c>
      <c r="E67" s="3074">
        <f t="shared" si="0"/>
        <v>60303790</v>
      </c>
      <c r="F67" s="705"/>
      <c r="G67" s="705"/>
      <c r="H67" s="705"/>
      <c r="I67" s="705"/>
      <c r="J67" s="705"/>
    </row>
    <row r="68" spans="1:10" s="2228" customFormat="1" ht="51">
      <c r="A68" s="3146" t="s">
        <v>971</v>
      </c>
      <c r="B68" s="3069" t="s">
        <v>972</v>
      </c>
      <c r="C68" s="3080">
        <f>C69+C70+C71+C72+C77+C78+C79+C76</f>
        <v>60303790</v>
      </c>
      <c r="D68" s="3080">
        <f>D69+D70+D71+D72+D77+D78+D79+D76</f>
        <v>0</v>
      </c>
      <c r="E68" s="3079">
        <f t="shared" si="0"/>
        <v>60303790</v>
      </c>
      <c r="F68" s="705"/>
      <c r="G68" s="705"/>
      <c r="H68" s="705"/>
      <c r="I68" s="705"/>
      <c r="J68" s="705"/>
    </row>
    <row r="69" spans="1:10" s="2228" customFormat="1" ht="51">
      <c r="A69" s="3176" t="s">
        <v>2207</v>
      </c>
      <c r="B69" s="3048"/>
      <c r="C69" s="3049">
        <v>53795300</v>
      </c>
      <c r="D69" s="3050"/>
      <c r="E69" s="3066">
        <f t="shared" si="0"/>
        <v>53795300</v>
      </c>
      <c r="F69" s="705"/>
      <c r="G69" s="705"/>
      <c r="H69" s="705"/>
      <c r="I69" s="705"/>
      <c r="J69" s="705"/>
    </row>
    <row r="70" spans="1:10" s="2228" customFormat="1" ht="51">
      <c r="A70" s="3176" t="s">
        <v>2208</v>
      </c>
      <c r="B70" s="3048"/>
      <c r="C70" s="3049">
        <v>248934</v>
      </c>
      <c r="D70" s="3050"/>
      <c r="E70" s="3066">
        <f t="shared" si="0"/>
        <v>248934</v>
      </c>
      <c r="F70" s="705"/>
      <c r="G70" s="705"/>
      <c r="H70" s="705"/>
      <c r="I70" s="705"/>
      <c r="J70" s="705"/>
    </row>
    <row r="71" spans="1:10" s="2228" customFormat="1" ht="51">
      <c r="A71" s="3363" t="s">
        <v>2209</v>
      </c>
      <c r="B71" s="3065"/>
      <c r="C71" s="3049">
        <v>154010</v>
      </c>
      <c r="D71" s="3050"/>
      <c r="E71" s="3066">
        <f t="shared" si="0"/>
        <v>154010</v>
      </c>
      <c r="F71" s="705"/>
      <c r="G71" s="705"/>
      <c r="H71" s="705"/>
      <c r="I71" s="705"/>
      <c r="J71" s="705"/>
    </row>
    <row r="72" spans="1:10" s="2228" customFormat="1" ht="63.75">
      <c r="A72" s="3120" t="s">
        <v>2210</v>
      </c>
      <c r="B72" s="3065"/>
      <c r="C72" s="3084">
        <f>C73+C74+C75</f>
        <v>4975893</v>
      </c>
      <c r="D72" s="3084">
        <f>D73+D74+D75</f>
        <v>0</v>
      </c>
      <c r="E72" s="3061">
        <f t="shared" si="0"/>
        <v>4975893</v>
      </c>
      <c r="F72" s="705"/>
      <c r="G72" s="705"/>
      <c r="H72" s="705"/>
      <c r="I72" s="705"/>
      <c r="J72" s="705"/>
    </row>
    <row r="73" spans="1:10" s="2228" customFormat="1" ht="127.5">
      <c r="A73" s="3363" t="s">
        <v>2211</v>
      </c>
      <c r="B73" s="3065"/>
      <c r="C73" s="3049">
        <v>1531404</v>
      </c>
      <c r="D73" s="3050"/>
      <c r="E73" s="3066">
        <f t="shared" ref="E73:E146" si="1">C73+D73</f>
        <v>1531404</v>
      </c>
      <c r="F73" s="705"/>
      <c r="G73" s="705"/>
      <c r="H73" s="705"/>
      <c r="I73" s="705"/>
      <c r="J73" s="705"/>
    </row>
    <row r="74" spans="1:10" s="2228" customFormat="1" ht="114.75">
      <c r="A74" s="3364" t="s">
        <v>2212</v>
      </c>
      <c r="B74" s="3107"/>
      <c r="C74" s="3102">
        <v>1521156</v>
      </c>
      <c r="D74" s="3103"/>
      <c r="E74" s="3108">
        <f t="shared" si="1"/>
        <v>1521156</v>
      </c>
      <c r="F74" s="705"/>
      <c r="G74" s="705"/>
      <c r="H74" s="705"/>
      <c r="I74" s="705"/>
      <c r="J74" s="705"/>
    </row>
    <row r="75" spans="1:10" s="2228" customFormat="1" ht="78.75">
      <c r="A75" s="3365" t="s">
        <v>2420</v>
      </c>
      <c r="B75" s="3105"/>
      <c r="C75" s="2714">
        <v>1923333</v>
      </c>
      <c r="D75" s="2715"/>
      <c r="E75" s="3106">
        <f t="shared" si="1"/>
        <v>1923333</v>
      </c>
      <c r="F75" s="705"/>
      <c r="G75" s="705"/>
      <c r="H75" s="705"/>
      <c r="I75" s="705"/>
      <c r="J75" s="705"/>
    </row>
    <row r="76" spans="1:10" s="2228" customFormat="1" ht="135">
      <c r="A76" s="3141" t="s">
        <v>2573</v>
      </c>
      <c r="B76" s="3065"/>
      <c r="C76" s="3049">
        <v>1129653</v>
      </c>
      <c r="D76" s="3050"/>
      <c r="E76" s="3066">
        <f>C76+D76</f>
        <v>1129653</v>
      </c>
      <c r="F76" s="705"/>
      <c r="G76" s="705"/>
      <c r="H76" s="705"/>
      <c r="I76" s="705"/>
      <c r="J76" s="705"/>
    </row>
    <row r="77" spans="1:10" s="2228" customFormat="1" ht="76.5" hidden="1">
      <c r="A77" s="3363" t="s">
        <v>2213</v>
      </c>
      <c r="B77" s="3065"/>
      <c r="C77" s="3049">
        <v>0</v>
      </c>
      <c r="D77" s="3050"/>
      <c r="E77" s="3066">
        <f t="shared" si="1"/>
        <v>0</v>
      </c>
      <c r="F77" s="705"/>
      <c r="G77" s="705"/>
      <c r="H77" s="705"/>
      <c r="I77" s="705"/>
      <c r="J77" s="705"/>
    </row>
    <row r="78" spans="1:10" s="2228" customFormat="1" ht="63.75" hidden="1">
      <c r="A78" s="3363" t="s">
        <v>2214</v>
      </c>
      <c r="B78" s="3065"/>
      <c r="C78" s="3049">
        <v>0</v>
      </c>
      <c r="D78" s="3050"/>
      <c r="E78" s="3066">
        <f t="shared" si="1"/>
        <v>0</v>
      </c>
      <c r="F78" s="705"/>
      <c r="G78" s="705"/>
      <c r="H78" s="705"/>
      <c r="I78" s="705"/>
      <c r="J78" s="705"/>
    </row>
    <row r="79" spans="1:10" s="2228" customFormat="1" ht="60" hidden="1">
      <c r="A79" s="3366" t="s">
        <v>2329</v>
      </c>
      <c r="B79" s="3065"/>
      <c r="C79" s="3049"/>
      <c r="D79" s="3050"/>
      <c r="E79" s="3066">
        <f t="shared" si="1"/>
        <v>0</v>
      </c>
      <c r="F79" s="705"/>
      <c r="G79" s="705"/>
      <c r="H79" s="705"/>
      <c r="I79" s="705"/>
      <c r="J79" s="705"/>
    </row>
    <row r="80" spans="1:10" s="2228" customFormat="1" ht="25.5">
      <c r="A80" s="3120" t="s">
        <v>2215</v>
      </c>
      <c r="B80" s="3085" t="s">
        <v>2172</v>
      </c>
      <c r="C80" s="3080">
        <f>C81+C82</f>
        <v>0</v>
      </c>
      <c r="D80" s="3082">
        <f>D81+D82</f>
        <v>0</v>
      </c>
      <c r="E80" s="3079">
        <f t="shared" si="1"/>
        <v>0</v>
      </c>
      <c r="F80" s="705"/>
      <c r="G80" s="705"/>
      <c r="H80" s="705"/>
      <c r="I80" s="705"/>
      <c r="J80" s="705"/>
    </row>
    <row r="81" spans="1:10" s="2228" customFormat="1" ht="51">
      <c r="A81" s="3363" t="s">
        <v>2216</v>
      </c>
      <c r="B81" s="3085"/>
      <c r="C81" s="3057"/>
      <c r="D81" s="3086"/>
      <c r="E81" s="3066">
        <f t="shared" si="1"/>
        <v>0</v>
      </c>
      <c r="F81" s="705"/>
      <c r="G81" s="705"/>
      <c r="H81" s="705"/>
      <c r="I81" s="705"/>
      <c r="J81" s="705"/>
    </row>
    <row r="82" spans="1:10" s="2228" customFormat="1" ht="38.25">
      <c r="A82" s="3363" t="s">
        <v>2217</v>
      </c>
      <c r="B82" s="3085"/>
      <c r="C82" s="3057"/>
      <c r="D82" s="3086"/>
      <c r="E82" s="3066">
        <f t="shared" si="1"/>
        <v>0</v>
      </c>
      <c r="F82" s="705"/>
      <c r="G82" s="705"/>
      <c r="H82" s="705"/>
      <c r="I82" s="705"/>
      <c r="J82" s="705"/>
    </row>
    <row r="83" spans="1:10" s="2228" customFormat="1" ht="51">
      <c r="A83" s="3367" t="s">
        <v>973</v>
      </c>
      <c r="B83" s="3056" t="s">
        <v>974</v>
      </c>
      <c r="C83" s="3075">
        <f>C84+C88</f>
        <v>0</v>
      </c>
      <c r="D83" s="3075">
        <f>D84+D88</f>
        <v>0</v>
      </c>
      <c r="E83" s="3079">
        <f t="shared" si="1"/>
        <v>0</v>
      </c>
      <c r="F83" s="705"/>
      <c r="G83" s="705"/>
      <c r="H83" s="705"/>
      <c r="I83" s="705"/>
      <c r="J83" s="705"/>
    </row>
    <row r="84" spans="1:10" s="2228" customFormat="1" ht="25.5">
      <c r="A84" s="3367" t="s">
        <v>2108</v>
      </c>
      <c r="B84" s="3056" t="s">
        <v>2109</v>
      </c>
      <c r="C84" s="3075">
        <f>C85+C86+C87</f>
        <v>0</v>
      </c>
      <c r="D84" s="3073">
        <f>D85+D86+D87</f>
        <v>0</v>
      </c>
      <c r="E84" s="3079">
        <f t="shared" si="1"/>
        <v>0</v>
      </c>
      <c r="F84" s="705"/>
      <c r="G84" s="705"/>
      <c r="H84" s="705"/>
      <c r="I84" s="705"/>
      <c r="J84" s="705"/>
    </row>
    <row r="85" spans="1:10" s="2228" customFormat="1" ht="18" customHeight="1">
      <c r="A85" s="3368" t="s">
        <v>975</v>
      </c>
      <c r="B85" s="3087" t="s">
        <v>2110</v>
      </c>
      <c r="C85" s="3049"/>
      <c r="D85" s="3050"/>
      <c r="E85" s="3051">
        <f t="shared" si="1"/>
        <v>0</v>
      </c>
      <c r="F85" s="705"/>
      <c r="G85" s="705"/>
      <c r="H85" s="705"/>
      <c r="I85" s="705"/>
      <c r="J85" s="705"/>
    </row>
    <row r="86" spans="1:10" s="2228" customFormat="1" ht="18" customHeight="1">
      <c r="A86" s="3368" t="s">
        <v>976</v>
      </c>
      <c r="B86" s="3087" t="s">
        <v>2111</v>
      </c>
      <c r="C86" s="3049"/>
      <c r="D86" s="3050"/>
      <c r="E86" s="3051">
        <f t="shared" si="1"/>
        <v>0</v>
      </c>
      <c r="F86" s="705"/>
      <c r="G86" s="705"/>
      <c r="H86" s="705"/>
      <c r="I86" s="705"/>
      <c r="J86" s="705"/>
    </row>
    <row r="87" spans="1:10" s="2228" customFormat="1" ht="18" customHeight="1">
      <c r="A87" s="3116" t="s">
        <v>1860</v>
      </c>
      <c r="B87" s="3062" t="s">
        <v>2174</v>
      </c>
      <c r="C87" s="3049"/>
      <c r="D87" s="3050"/>
      <c r="E87" s="3051">
        <f t="shared" si="1"/>
        <v>0</v>
      </c>
      <c r="F87" s="705"/>
      <c r="G87" s="705"/>
      <c r="H87" s="705"/>
      <c r="I87" s="705"/>
      <c r="J87" s="705"/>
    </row>
    <row r="88" spans="1:10" s="2228" customFormat="1" ht="25.5" hidden="1">
      <c r="A88" s="3369" t="s">
        <v>977</v>
      </c>
      <c r="B88" s="3088" t="s">
        <v>978</v>
      </c>
      <c r="C88" s="3075">
        <f>C89+C90+C91</f>
        <v>0</v>
      </c>
      <c r="D88" s="3073">
        <f>D89+D90+D91</f>
        <v>0</v>
      </c>
      <c r="E88" s="3051">
        <f t="shared" si="1"/>
        <v>0</v>
      </c>
      <c r="F88" s="705"/>
      <c r="G88" s="705"/>
      <c r="H88" s="705"/>
      <c r="I88" s="705"/>
      <c r="J88" s="705"/>
    </row>
    <row r="89" spans="1:10" s="2228" customFormat="1" ht="18" hidden="1" customHeight="1">
      <c r="A89" s="3357" t="s">
        <v>975</v>
      </c>
      <c r="B89" s="3048" t="s">
        <v>979</v>
      </c>
      <c r="C89" s="3049"/>
      <c r="D89" s="3050"/>
      <c r="E89" s="3051">
        <f t="shared" si="1"/>
        <v>0</v>
      </c>
      <c r="F89" s="705"/>
      <c r="G89" s="705"/>
      <c r="H89" s="705"/>
      <c r="I89" s="705"/>
      <c r="J89" s="705"/>
    </row>
    <row r="90" spans="1:10" s="2228" customFormat="1" ht="18" hidden="1" customHeight="1">
      <c r="A90" s="3357" t="s">
        <v>976</v>
      </c>
      <c r="B90" s="3048" t="s">
        <v>1858</v>
      </c>
      <c r="C90" s="3049"/>
      <c r="D90" s="3050"/>
      <c r="E90" s="3051">
        <f t="shared" si="1"/>
        <v>0</v>
      </c>
      <c r="F90" s="705"/>
      <c r="G90" s="705"/>
      <c r="H90" s="705"/>
      <c r="I90" s="705"/>
      <c r="J90" s="705"/>
    </row>
    <row r="91" spans="1:10" s="2228" customFormat="1" ht="18" hidden="1" customHeight="1">
      <c r="A91" s="3357" t="s">
        <v>1860</v>
      </c>
      <c r="B91" s="3048" t="s">
        <v>1859</v>
      </c>
      <c r="C91" s="3049"/>
      <c r="D91" s="3050"/>
      <c r="E91" s="3051">
        <f t="shared" si="1"/>
        <v>0</v>
      </c>
      <c r="F91" s="705"/>
      <c r="G91" s="705"/>
      <c r="H91" s="705"/>
      <c r="I91" s="705"/>
      <c r="J91" s="705"/>
    </row>
    <row r="92" spans="1:10" s="2228" customFormat="1" ht="18" customHeight="1">
      <c r="A92" s="3132" t="s">
        <v>1954</v>
      </c>
      <c r="B92" s="3069" t="s">
        <v>2574</v>
      </c>
      <c r="C92" s="3070">
        <f>C93+C94+C95</f>
        <v>0</v>
      </c>
      <c r="D92" s="3071">
        <f>D93+D94+D95</f>
        <v>0</v>
      </c>
      <c r="E92" s="3051">
        <f t="shared" si="1"/>
        <v>0</v>
      </c>
      <c r="F92" s="705"/>
      <c r="G92" s="705"/>
      <c r="H92" s="705"/>
      <c r="I92" s="705"/>
      <c r="J92" s="705"/>
    </row>
    <row r="93" spans="1:10" s="2228" customFormat="1" ht="18" customHeight="1">
      <c r="A93" s="3357" t="s">
        <v>975</v>
      </c>
      <c r="B93" s="3048" t="s">
        <v>2575</v>
      </c>
      <c r="C93" s="3049"/>
      <c r="D93" s="3050"/>
      <c r="E93" s="3051">
        <f t="shared" si="1"/>
        <v>0</v>
      </c>
      <c r="F93" s="705"/>
      <c r="G93" s="705"/>
      <c r="H93" s="705"/>
      <c r="I93" s="705"/>
      <c r="J93" s="705"/>
    </row>
    <row r="94" spans="1:10" s="2228" customFormat="1" ht="18" customHeight="1">
      <c r="A94" s="3357" t="s">
        <v>976</v>
      </c>
      <c r="B94" s="3048" t="s">
        <v>2576</v>
      </c>
      <c r="C94" s="3049"/>
      <c r="D94" s="3050"/>
      <c r="E94" s="3051">
        <f t="shared" si="1"/>
        <v>0</v>
      </c>
      <c r="F94" s="705"/>
      <c r="G94" s="705"/>
      <c r="H94" s="705"/>
      <c r="I94" s="705"/>
      <c r="J94" s="705"/>
    </row>
    <row r="95" spans="1:10" s="2228" customFormat="1" ht="18" customHeight="1">
      <c r="A95" s="3357" t="s">
        <v>1860</v>
      </c>
      <c r="B95" s="3048" t="s">
        <v>2577</v>
      </c>
      <c r="C95" s="3049"/>
      <c r="D95" s="3050"/>
      <c r="E95" s="3051">
        <f t="shared" si="1"/>
        <v>0</v>
      </c>
      <c r="F95" s="705"/>
      <c r="G95" s="705"/>
      <c r="H95" s="705"/>
      <c r="I95" s="705"/>
      <c r="J95" s="705"/>
    </row>
    <row r="96" spans="1:10" s="2228" customFormat="1" ht="18" customHeight="1">
      <c r="A96" s="3358" t="s">
        <v>980</v>
      </c>
      <c r="B96" s="3056" t="s">
        <v>981</v>
      </c>
      <c r="C96" s="3075">
        <f>C97+C98</f>
        <v>0</v>
      </c>
      <c r="D96" s="3073">
        <f>D97+D98</f>
        <v>0</v>
      </c>
      <c r="E96" s="3074">
        <f t="shared" si="1"/>
        <v>0</v>
      </c>
      <c r="F96" s="705"/>
      <c r="G96" s="705"/>
      <c r="H96" s="705"/>
      <c r="I96" s="705"/>
      <c r="J96" s="705"/>
    </row>
    <row r="97" spans="1:10" s="2228" customFormat="1" ht="18" customHeight="1">
      <c r="A97" s="3357" t="s">
        <v>982</v>
      </c>
      <c r="B97" s="3048" t="s">
        <v>983</v>
      </c>
      <c r="C97" s="3049"/>
      <c r="D97" s="3050"/>
      <c r="E97" s="3051">
        <f t="shared" si="1"/>
        <v>0</v>
      </c>
      <c r="F97" s="705"/>
      <c r="G97" s="705"/>
      <c r="H97" s="705"/>
      <c r="I97" s="705"/>
      <c r="J97" s="705"/>
    </row>
    <row r="98" spans="1:10" s="2228" customFormat="1" ht="24">
      <c r="A98" s="3357" t="s">
        <v>1864</v>
      </c>
      <c r="B98" s="3048" t="s">
        <v>1863</v>
      </c>
      <c r="C98" s="3049"/>
      <c r="D98" s="3050"/>
      <c r="E98" s="3051">
        <f t="shared" si="1"/>
        <v>0</v>
      </c>
      <c r="F98" s="705"/>
      <c r="G98" s="705"/>
      <c r="H98" s="705"/>
      <c r="I98" s="705"/>
      <c r="J98" s="705"/>
    </row>
    <row r="99" spans="1:10" s="2228" customFormat="1" ht="18" customHeight="1">
      <c r="A99" s="3358" t="s">
        <v>872</v>
      </c>
      <c r="B99" s="3056" t="s">
        <v>1070</v>
      </c>
      <c r="C99" s="3073">
        <f>+C100</f>
        <v>0</v>
      </c>
      <c r="D99" s="3073">
        <f>+D100</f>
        <v>0</v>
      </c>
      <c r="E99" s="3074">
        <f t="shared" si="1"/>
        <v>0</v>
      </c>
      <c r="F99" s="705"/>
      <c r="G99" s="705"/>
      <c r="H99" s="700"/>
      <c r="I99" s="700"/>
      <c r="J99" s="705"/>
    </row>
    <row r="100" spans="1:10" s="2228" customFormat="1" ht="18" customHeight="1">
      <c r="A100" s="3358" t="s">
        <v>2426</v>
      </c>
      <c r="B100" s="3056" t="s">
        <v>1071</v>
      </c>
      <c r="C100" s="3073">
        <f>+C101+C106</f>
        <v>0</v>
      </c>
      <c r="D100" s="3073">
        <f>+D101+D106</f>
        <v>0</v>
      </c>
      <c r="E100" s="3074">
        <f t="shared" si="1"/>
        <v>0</v>
      </c>
      <c r="F100" s="705"/>
      <c r="G100" s="705"/>
      <c r="H100" s="705"/>
      <c r="I100" s="705"/>
      <c r="J100" s="705"/>
    </row>
    <row r="101" spans="1:10" s="2228" customFormat="1" ht="18" customHeight="1">
      <c r="A101" s="3358" t="s">
        <v>1536</v>
      </c>
      <c r="B101" s="3056" t="s">
        <v>1072</v>
      </c>
      <c r="C101" s="3073">
        <f>C102+C103+C104+C105</f>
        <v>0</v>
      </c>
      <c r="D101" s="3073">
        <f>D102+D103+D104+D105</f>
        <v>0</v>
      </c>
      <c r="E101" s="3074">
        <f t="shared" si="1"/>
        <v>0</v>
      </c>
      <c r="F101" s="705"/>
      <c r="G101" s="705"/>
      <c r="H101" s="705"/>
      <c r="I101" s="705"/>
      <c r="J101" s="705"/>
    </row>
    <row r="102" spans="1:10" s="2228" customFormat="1" ht="18" customHeight="1">
      <c r="A102" s="3357" t="s">
        <v>992</v>
      </c>
      <c r="B102" s="3048" t="s">
        <v>1073</v>
      </c>
      <c r="C102" s="3049"/>
      <c r="D102" s="3050"/>
      <c r="E102" s="3051">
        <f t="shared" si="1"/>
        <v>0</v>
      </c>
      <c r="F102" s="705"/>
      <c r="G102" s="705"/>
      <c r="H102" s="705"/>
      <c r="I102" s="705"/>
      <c r="J102" s="705"/>
    </row>
    <row r="103" spans="1:10" s="2228" customFormat="1" ht="18" customHeight="1">
      <c r="A103" s="3370" t="s">
        <v>876</v>
      </c>
      <c r="B103" s="3089" t="s">
        <v>1074</v>
      </c>
      <c r="C103" s="3049"/>
      <c r="D103" s="3050"/>
      <c r="E103" s="3051">
        <f t="shared" si="1"/>
        <v>0</v>
      </c>
      <c r="F103" s="705"/>
      <c r="G103" s="705"/>
      <c r="H103" s="705"/>
      <c r="I103" s="705"/>
      <c r="J103" s="705"/>
    </row>
    <row r="104" spans="1:10" s="2228" customFormat="1" ht="18" customHeight="1">
      <c r="A104" s="3371" t="s">
        <v>994</v>
      </c>
      <c r="B104" s="3089" t="s">
        <v>1075</v>
      </c>
      <c r="C104" s="3049"/>
      <c r="D104" s="3050"/>
      <c r="E104" s="3051">
        <f t="shared" si="1"/>
        <v>0</v>
      </c>
      <c r="F104" s="705"/>
      <c r="G104" s="705"/>
      <c r="H104" s="705"/>
      <c r="I104" s="705"/>
      <c r="J104" s="705"/>
    </row>
    <row r="105" spans="1:10" s="2228" customFormat="1" ht="18" customHeight="1">
      <c r="A105" s="3357" t="s">
        <v>1537</v>
      </c>
      <c r="B105" s="3048" t="s">
        <v>1076</v>
      </c>
      <c r="C105" s="3049"/>
      <c r="D105" s="3050"/>
      <c r="E105" s="3051">
        <f t="shared" si="1"/>
        <v>0</v>
      </c>
      <c r="F105" s="705"/>
      <c r="G105" s="705"/>
      <c r="H105" s="705"/>
      <c r="I105" s="705"/>
      <c r="J105" s="705"/>
    </row>
    <row r="106" spans="1:10" s="2228" customFormat="1" ht="18" customHeight="1">
      <c r="A106" s="3358" t="s">
        <v>998</v>
      </c>
      <c r="B106" s="3056" t="s">
        <v>1538</v>
      </c>
      <c r="C106" s="3090"/>
      <c r="D106" s="3091"/>
      <c r="E106" s="3051">
        <f t="shared" si="1"/>
        <v>0</v>
      </c>
      <c r="F106" s="705"/>
      <c r="G106" s="705"/>
      <c r="H106" s="705"/>
      <c r="I106" s="705"/>
      <c r="J106" s="705"/>
    </row>
    <row r="107" spans="1:10" s="2228" customFormat="1" ht="18" customHeight="1">
      <c r="A107" s="3372" t="s">
        <v>822</v>
      </c>
      <c r="B107" s="3092" t="s">
        <v>823</v>
      </c>
      <c r="C107" s="3090"/>
      <c r="D107" s="3091"/>
      <c r="E107" s="3074">
        <f t="shared" si="1"/>
        <v>0</v>
      </c>
      <c r="F107" s="705"/>
      <c r="G107" s="705"/>
      <c r="H107" s="705"/>
      <c r="I107" s="705"/>
      <c r="J107" s="705"/>
    </row>
    <row r="108" spans="1:10" s="2228" customFormat="1" ht="18" customHeight="1">
      <c r="A108" s="3372" t="s">
        <v>824</v>
      </c>
      <c r="B108" s="3092" t="s">
        <v>825</v>
      </c>
      <c r="C108" s="3073">
        <f>C12+C10+C34+C63-C44-C107+C83+C66+C96</f>
        <v>63040696</v>
      </c>
      <c r="D108" s="3073">
        <f>D12+D10+D34+D63-D44-D107+D83+D66+D96</f>
        <v>-21349</v>
      </c>
      <c r="E108" s="3074">
        <f t="shared" si="1"/>
        <v>63019347</v>
      </c>
      <c r="F108" s="705"/>
      <c r="G108" s="705"/>
      <c r="H108" s="705"/>
      <c r="I108" s="705"/>
      <c r="J108" s="705"/>
    </row>
    <row r="109" spans="1:10" s="2228" customFormat="1" ht="18" hidden="1" customHeight="1">
      <c r="A109" s="3372"/>
      <c r="B109" s="3092"/>
      <c r="C109" s="3073"/>
      <c r="D109" s="3073"/>
      <c r="E109" s="3074"/>
      <c r="F109" s="705"/>
      <c r="G109" s="705"/>
      <c r="H109" s="705"/>
      <c r="I109" s="705"/>
      <c r="J109" s="705"/>
    </row>
    <row r="110" spans="1:10" s="2228" customFormat="1" ht="18" hidden="1" customHeight="1">
      <c r="A110" s="3372"/>
      <c r="B110" s="3092"/>
      <c r="C110" s="3073"/>
      <c r="D110" s="3073"/>
      <c r="E110" s="3074"/>
      <c r="F110" s="705"/>
      <c r="G110" s="705"/>
      <c r="H110" s="705"/>
      <c r="I110" s="705"/>
      <c r="J110" s="705"/>
    </row>
    <row r="111" spans="1:10" s="2228" customFormat="1" ht="18" hidden="1" customHeight="1">
      <c r="A111" s="3372"/>
      <c r="B111" s="3092"/>
      <c r="C111" s="3073"/>
      <c r="D111" s="3073"/>
      <c r="E111" s="3074"/>
      <c r="F111" s="705"/>
      <c r="G111" s="705"/>
      <c r="H111" s="705"/>
      <c r="I111" s="705"/>
      <c r="J111" s="705"/>
    </row>
    <row r="112" spans="1:10" s="2228" customFormat="1" ht="18" hidden="1" customHeight="1">
      <c r="A112" s="3372"/>
      <c r="B112" s="3092"/>
      <c r="C112" s="3073"/>
      <c r="D112" s="3073"/>
      <c r="E112" s="3074"/>
      <c r="F112" s="705"/>
      <c r="G112" s="705"/>
      <c r="H112" s="705"/>
      <c r="I112" s="705"/>
      <c r="J112" s="705"/>
    </row>
    <row r="113" spans="1:10" s="2228" customFormat="1" ht="28.15" customHeight="1">
      <c r="A113" s="3372" t="s">
        <v>1046</v>
      </c>
      <c r="B113" s="3092"/>
      <c r="C113" s="3073">
        <f>C114+C203+C241+C244+C267+C268</f>
        <v>167295601</v>
      </c>
      <c r="D113" s="3073">
        <f>D114+D203+D241+D244+D267+D268</f>
        <v>-119770</v>
      </c>
      <c r="E113" s="3074">
        <f t="shared" si="1"/>
        <v>167175831</v>
      </c>
      <c r="F113" s="705"/>
      <c r="G113" s="705"/>
      <c r="H113" s="705"/>
      <c r="I113" s="705"/>
      <c r="J113" s="705"/>
    </row>
    <row r="114" spans="1:10" s="2228" customFormat="1" ht="31.9" customHeight="1">
      <c r="A114" s="3372" t="s">
        <v>826</v>
      </c>
      <c r="B114" s="3092" t="s">
        <v>827</v>
      </c>
      <c r="C114" s="3073">
        <f>+C115+C130+C167+C197+C200</f>
        <v>82672276</v>
      </c>
      <c r="D114" s="3073">
        <f>+D115+D130+D167+D197+D200</f>
        <v>-7650</v>
      </c>
      <c r="E114" s="3074">
        <f t="shared" si="1"/>
        <v>82664626</v>
      </c>
      <c r="F114" s="705"/>
      <c r="G114" s="705"/>
      <c r="H114" s="705"/>
      <c r="I114" s="705"/>
      <c r="J114" s="705"/>
    </row>
    <row r="115" spans="1:10" s="2228" customFormat="1" ht="20.45" customHeight="1">
      <c r="A115" s="3358" t="s">
        <v>828</v>
      </c>
      <c r="B115" s="3056" t="s">
        <v>829</v>
      </c>
      <c r="C115" s="3073">
        <f>C116+C117+C118+C119+C120+C121+C124</f>
        <v>38255160</v>
      </c>
      <c r="D115" s="3073">
        <f>D116+D117+D118+D119+D120+D121+D124</f>
        <v>-7650</v>
      </c>
      <c r="E115" s="3074">
        <f t="shared" si="1"/>
        <v>38247510</v>
      </c>
      <c r="F115" s="705"/>
      <c r="G115" s="705"/>
      <c r="H115" s="705"/>
      <c r="I115" s="705"/>
      <c r="J115" s="705"/>
    </row>
    <row r="116" spans="1:10" s="2228" customFormat="1" ht="18" customHeight="1">
      <c r="A116" s="3159" t="s">
        <v>1539</v>
      </c>
      <c r="B116" s="3048"/>
      <c r="C116" s="3050">
        <v>33539000</v>
      </c>
      <c r="D116" s="3050">
        <v>-7650</v>
      </c>
      <c r="E116" s="3051">
        <f t="shared" si="1"/>
        <v>33531350</v>
      </c>
      <c r="F116" s="705"/>
      <c r="G116" s="705"/>
      <c r="H116" s="705"/>
      <c r="I116" s="705"/>
      <c r="J116" s="705"/>
    </row>
    <row r="117" spans="1:10" s="2228" customFormat="1" ht="63.75">
      <c r="A117" s="3159" t="s">
        <v>2451</v>
      </c>
      <c r="B117" s="3048"/>
      <c r="C117" s="3050"/>
      <c r="D117" s="3050"/>
      <c r="E117" s="3051">
        <f t="shared" si="1"/>
        <v>0</v>
      </c>
      <c r="F117" s="705"/>
      <c r="G117" s="705"/>
      <c r="H117" s="705"/>
      <c r="I117" s="705"/>
      <c r="J117" s="705"/>
    </row>
    <row r="118" spans="1:10" s="2228" customFormat="1" ht="67.5">
      <c r="A118" s="3814" t="s">
        <v>2452</v>
      </c>
      <c r="B118" s="3101"/>
      <c r="C118" s="3103"/>
      <c r="D118" s="3103"/>
      <c r="E118" s="3104">
        <f t="shared" si="1"/>
        <v>0</v>
      </c>
      <c r="F118" s="705"/>
      <c r="G118" s="705"/>
      <c r="H118" s="705"/>
      <c r="I118" s="705"/>
      <c r="J118" s="705"/>
    </row>
    <row r="119" spans="1:10" s="2228" customFormat="1" ht="63.75">
      <c r="A119" s="2732" t="s">
        <v>1795</v>
      </c>
      <c r="B119" s="2711"/>
      <c r="C119" s="2715">
        <v>400022</v>
      </c>
      <c r="D119" s="2715"/>
      <c r="E119" s="2712">
        <f t="shared" si="1"/>
        <v>400022</v>
      </c>
      <c r="F119" s="705"/>
      <c r="G119" s="705"/>
      <c r="H119" s="705"/>
      <c r="I119" s="705"/>
      <c r="J119" s="705"/>
    </row>
    <row r="120" spans="1:10" s="2228" customFormat="1" ht="22.9" customHeight="1">
      <c r="A120" s="3159" t="s">
        <v>1540</v>
      </c>
      <c r="B120" s="3048"/>
      <c r="C120" s="3050">
        <v>3417</v>
      </c>
      <c r="D120" s="3050"/>
      <c r="E120" s="3051">
        <f t="shared" si="1"/>
        <v>3417</v>
      </c>
      <c r="F120" s="705"/>
      <c r="G120" s="705"/>
      <c r="H120" s="705"/>
      <c r="I120" s="705"/>
      <c r="J120" s="705"/>
    </row>
    <row r="121" spans="1:10" s="2228" customFormat="1" ht="18" customHeight="1">
      <c r="A121" s="3160" t="s">
        <v>1783</v>
      </c>
      <c r="B121" s="3048"/>
      <c r="C121" s="3093">
        <f>C122+C123</f>
        <v>0</v>
      </c>
      <c r="D121" s="3093">
        <f>D122+D123</f>
        <v>0</v>
      </c>
      <c r="E121" s="3051">
        <f t="shared" si="1"/>
        <v>0</v>
      </c>
      <c r="F121" s="705"/>
      <c r="G121" s="705"/>
      <c r="H121" s="705"/>
      <c r="I121" s="705"/>
      <c r="J121" s="705"/>
    </row>
    <row r="122" spans="1:10" s="2228" customFormat="1" ht="18" customHeight="1">
      <c r="A122" s="3160" t="s">
        <v>1539</v>
      </c>
      <c r="B122" s="3048"/>
      <c r="C122" s="3050"/>
      <c r="D122" s="3050"/>
      <c r="E122" s="3051">
        <f t="shared" si="1"/>
        <v>0</v>
      </c>
      <c r="F122" s="705"/>
      <c r="G122" s="705"/>
      <c r="H122" s="705"/>
      <c r="I122" s="705"/>
      <c r="J122" s="705"/>
    </row>
    <row r="123" spans="1:10" s="2228" customFormat="1" ht="84">
      <c r="A123" s="3160" t="s">
        <v>2452</v>
      </c>
      <c r="B123" s="3048"/>
      <c r="C123" s="3050"/>
      <c r="D123" s="3050"/>
      <c r="E123" s="3051">
        <f t="shared" si="1"/>
        <v>0</v>
      </c>
      <c r="F123" s="705"/>
      <c r="G123" s="705"/>
      <c r="H123" s="705"/>
      <c r="I123" s="705"/>
      <c r="J123" s="705"/>
    </row>
    <row r="124" spans="1:10" s="2228" customFormat="1" ht="18" customHeight="1">
      <c r="A124" s="3373" t="s">
        <v>2197</v>
      </c>
      <c r="B124" s="3092"/>
      <c r="C124" s="3094">
        <f>C125+C128+C129</f>
        <v>4312721</v>
      </c>
      <c r="D124" s="3094">
        <f>D125+D128+D129</f>
        <v>0</v>
      </c>
      <c r="E124" s="3061">
        <f t="shared" si="1"/>
        <v>4312721</v>
      </c>
      <c r="F124" s="705"/>
      <c r="G124" s="705"/>
      <c r="H124" s="705"/>
      <c r="I124" s="705"/>
      <c r="J124" s="705"/>
    </row>
    <row r="125" spans="1:10" s="2228" customFormat="1" ht="36">
      <c r="A125" s="3160" t="s">
        <v>2198</v>
      </c>
      <c r="B125" s="3048"/>
      <c r="C125" s="3093">
        <f>C126+C127</f>
        <v>4099769</v>
      </c>
      <c r="D125" s="3093">
        <f>D126+D127</f>
        <v>0</v>
      </c>
      <c r="E125" s="3051">
        <f t="shared" si="1"/>
        <v>4099769</v>
      </c>
      <c r="F125" s="705"/>
      <c r="G125" s="705"/>
      <c r="H125" s="705"/>
      <c r="I125" s="705"/>
      <c r="J125" s="705"/>
    </row>
    <row r="126" spans="1:10" s="2228" customFormat="1" ht="19.149999999999999" customHeight="1">
      <c r="A126" s="3160" t="s">
        <v>2454</v>
      </c>
      <c r="B126" s="3048"/>
      <c r="C126" s="3050">
        <v>4099769</v>
      </c>
      <c r="D126" s="3050"/>
      <c r="E126" s="3051">
        <f t="shared" si="1"/>
        <v>4099769</v>
      </c>
      <c r="F126" s="705"/>
      <c r="G126" s="705"/>
      <c r="H126" s="705"/>
      <c r="I126" s="705"/>
      <c r="J126" s="705"/>
    </row>
    <row r="127" spans="1:10" s="2228" customFormat="1" ht="84">
      <c r="A127" s="3160" t="s">
        <v>2452</v>
      </c>
      <c r="B127" s="3048"/>
      <c r="C127" s="3050"/>
      <c r="D127" s="3050"/>
      <c r="E127" s="3051">
        <f t="shared" si="1"/>
        <v>0</v>
      </c>
      <c r="F127" s="705"/>
      <c r="G127" s="705"/>
      <c r="H127" s="705"/>
      <c r="I127" s="705"/>
      <c r="J127" s="705"/>
    </row>
    <row r="128" spans="1:10" s="2228" customFormat="1" ht="72">
      <c r="A128" s="3374" t="s">
        <v>2199</v>
      </c>
      <c r="B128" s="3048"/>
      <c r="C128" s="3050">
        <v>120642</v>
      </c>
      <c r="D128" s="3050"/>
      <c r="E128" s="3051">
        <f t="shared" si="1"/>
        <v>120642</v>
      </c>
      <c r="F128" s="705"/>
      <c r="G128" s="705"/>
      <c r="H128" s="705"/>
      <c r="I128" s="705"/>
      <c r="J128" s="705"/>
    </row>
    <row r="129" spans="1:10" s="2228" customFormat="1" ht="72">
      <c r="A129" s="3374" t="s">
        <v>2200</v>
      </c>
      <c r="B129" s="3048"/>
      <c r="C129" s="3050">
        <v>92310</v>
      </c>
      <c r="D129" s="3050"/>
      <c r="E129" s="3051">
        <f t="shared" si="1"/>
        <v>92310</v>
      </c>
      <c r="F129" s="705"/>
      <c r="G129" s="705"/>
      <c r="H129" s="705"/>
      <c r="I129" s="705"/>
      <c r="J129" s="705"/>
    </row>
    <row r="130" spans="1:10" s="2228" customFormat="1" ht="36">
      <c r="A130" s="3358" t="s">
        <v>830</v>
      </c>
      <c r="B130" s="3056" t="s">
        <v>831</v>
      </c>
      <c r="C130" s="3075">
        <f>C132+C135+C138+C141+C144+C147+C150+C154+C157</f>
        <v>30736381</v>
      </c>
      <c r="D130" s="3075">
        <f>D132+D135+D138+D141+D144+D147+D150+D154+D157</f>
        <v>0</v>
      </c>
      <c r="E130" s="3074">
        <f t="shared" si="1"/>
        <v>30736381</v>
      </c>
      <c r="F130" s="705"/>
      <c r="G130" s="705"/>
      <c r="H130" s="705"/>
      <c r="I130" s="705"/>
      <c r="J130" s="705"/>
    </row>
    <row r="131" spans="1:10" s="2228" customFormat="1" ht="18" hidden="1" customHeight="1">
      <c r="A131" s="3372" t="s">
        <v>1539</v>
      </c>
      <c r="B131" s="3056"/>
      <c r="C131" s="3075"/>
      <c r="D131" s="3075"/>
      <c r="E131" s="3074">
        <f t="shared" si="1"/>
        <v>0</v>
      </c>
      <c r="F131" s="705"/>
      <c r="G131" s="705"/>
      <c r="H131" s="705"/>
      <c r="I131" s="705"/>
      <c r="J131" s="705"/>
    </row>
    <row r="132" spans="1:10" s="2228" customFormat="1" ht="24">
      <c r="A132" s="3375" t="s">
        <v>1541</v>
      </c>
      <c r="B132" s="3048"/>
      <c r="C132" s="3095">
        <f>C133+C134</f>
        <v>1405019</v>
      </c>
      <c r="D132" s="3095">
        <f>D133+D134</f>
        <v>0</v>
      </c>
      <c r="E132" s="3051">
        <f t="shared" si="1"/>
        <v>1405019</v>
      </c>
      <c r="F132" s="705"/>
      <c r="G132" s="705"/>
      <c r="H132" s="705"/>
      <c r="I132" s="705"/>
      <c r="J132" s="705"/>
    </row>
    <row r="133" spans="1:10" s="2228" customFormat="1" ht="18" customHeight="1">
      <c r="A133" s="3173" t="s">
        <v>2454</v>
      </c>
      <c r="B133" s="3048"/>
      <c r="C133" s="3049">
        <v>1405019</v>
      </c>
      <c r="D133" s="3050"/>
      <c r="E133" s="3051">
        <f t="shared" si="1"/>
        <v>1405019</v>
      </c>
      <c r="F133" s="705"/>
      <c r="G133" s="705"/>
      <c r="H133" s="705"/>
      <c r="I133" s="705"/>
      <c r="J133" s="705"/>
    </row>
    <row r="134" spans="1:10" s="2228" customFormat="1" ht="84">
      <c r="A134" s="3173" t="s">
        <v>2452</v>
      </c>
      <c r="B134" s="3048"/>
      <c r="C134" s="3049"/>
      <c r="D134" s="3050"/>
      <c r="E134" s="3051">
        <f t="shared" si="1"/>
        <v>0</v>
      </c>
      <c r="F134" s="705"/>
      <c r="G134" s="705"/>
      <c r="H134" s="705"/>
      <c r="I134" s="705"/>
      <c r="J134" s="705"/>
    </row>
    <row r="135" spans="1:10" s="2228" customFormat="1" ht="24">
      <c r="A135" s="3375" t="s">
        <v>1542</v>
      </c>
      <c r="B135" s="3048"/>
      <c r="C135" s="3095">
        <f>C136+C137</f>
        <v>0</v>
      </c>
      <c r="D135" s="3095">
        <f>D136+D137</f>
        <v>0</v>
      </c>
      <c r="E135" s="3051">
        <f t="shared" si="1"/>
        <v>0</v>
      </c>
      <c r="F135" s="705"/>
      <c r="G135" s="705"/>
      <c r="H135" s="705"/>
      <c r="I135" s="705"/>
      <c r="J135" s="705"/>
    </row>
    <row r="136" spans="1:10" s="2228" customFormat="1" ht="18" customHeight="1">
      <c r="A136" s="3173" t="s">
        <v>2454</v>
      </c>
      <c r="B136" s="3048"/>
      <c r="C136" s="3049"/>
      <c r="D136" s="3050"/>
      <c r="E136" s="3051">
        <f t="shared" si="1"/>
        <v>0</v>
      </c>
      <c r="F136" s="705"/>
      <c r="G136" s="705"/>
      <c r="H136" s="705"/>
      <c r="I136" s="705"/>
      <c r="J136" s="705"/>
    </row>
    <row r="137" spans="1:10" s="2228" customFormat="1" ht="84">
      <c r="A137" s="3173" t="s">
        <v>2452</v>
      </c>
      <c r="B137" s="3048"/>
      <c r="C137" s="3049"/>
      <c r="D137" s="3050"/>
      <c r="E137" s="3051">
        <f t="shared" si="1"/>
        <v>0</v>
      </c>
      <c r="F137" s="705"/>
      <c r="G137" s="705"/>
      <c r="H137" s="705"/>
      <c r="I137" s="705"/>
      <c r="J137" s="705"/>
    </row>
    <row r="138" spans="1:10" s="2228" customFormat="1" ht="24">
      <c r="A138" s="3375" t="s">
        <v>1543</v>
      </c>
      <c r="B138" s="3048"/>
      <c r="C138" s="3095">
        <f>C139+C140</f>
        <v>847050</v>
      </c>
      <c r="D138" s="3095">
        <f>D139+D140</f>
        <v>0</v>
      </c>
      <c r="E138" s="3051">
        <f t="shared" si="1"/>
        <v>847050</v>
      </c>
      <c r="F138" s="705"/>
      <c r="G138" s="705"/>
      <c r="H138" s="705"/>
      <c r="I138" s="705"/>
      <c r="J138" s="705"/>
    </row>
    <row r="139" spans="1:10" s="2228" customFormat="1" ht="18" customHeight="1">
      <c r="A139" s="3173" t="s">
        <v>2454</v>
      </c>
      <c r="B139" s="3048"/>
      <c r="C139" s="3049">
        <v>847050</v>
      </c>
      <c r="D139" s="3050"/>
      <c r="E139" s="3051">
        <f t="shared" si="1"/>
        <v>847050</v>
      </c>
      <c r="F139" s="705"/>
      <c r="G139" s="705"/>
      <c r="H139" s="705"/>
      <c r="I139" s="705"/>
      <c r="J139" s="705"/>
    </row>
    <row r="140" spans="1:10" s="2228" customFormat="1" ht="84">
      <c r="A140" s="3173" t="s">
        <v>2452</v>
      </c>
      <c r="B140" s="3048"/>
      <c r="C140" s="3049"/>
      <c r="D140" s="3050"/>
      <c r="E140" s="3051">
        <f t="shared" si="1"/>
        <v>0</v>
      </c>
      <c r="F140" s="705"/>
      <c r="G140" s="705"/>
      <c r="H140" s="705"/>
      <c r="I140" s="705"/>
      <c r="J140" s="705"/>
    </row>
    <row r="141" spans="1:10" s="2228" customFormat="1" ht="18" customHeight="1">
      <c r="A141" s="3375" t="s">
        <v>1544</v>
      </c>
      <c r="B141" s="3048"/>
      <c r="C141" s="3095">
        <f>C142+C143</f>
        <v>12652305</v>
      </c>
      <c r="D141" s="3095">
        <f>D142+D143</f>
        <v>0</v>
      </c>
      <c r="E141" s="3051">
        <f t="shared" si="1"/>
        <v>12652305</v>
      </c>
      <c r="F141" s="705"/>
      <c r="G141" s="705"/>
      <c r="H141" s="705"/>
      <c r="I141" s="705"/>
      <c r="J141" s="705"/>
    </row>
    <row r="142" spans="1:10" s="2228" customFormat="1" ht="18" customHeight="1">
      <c r="A142" s="3173" t="s">
        <v>2454</v>
      </c>
      <c r="B142" s="3048"/>
      <c r="C142" s="3049">
        <v>12652305</v>
      </c>
      <c r="D142" s="3050"/>
      <c r="E142" s="3051">
        <f t="shared" si="1"/>
        <v>12652305</v>
      </c>
      <c r="F142" s="705"/>
      <c r="G142" s="705"/>
      <c r="H142" s="705"/>
      <c r="I142" s="705"/>
      <c r="J142" s="705"/>
    </row>
    <row r="143" spans="1:10" s="2228" customFormat="1" ht="83.45" customHeight="1">
      <c r="A143" s="3376" t="s">
        <v>2452</v>
      </c>
      <c r="B143" s="3101"/>
      <c r="C143" s="3102"/>
      <c r="D143" s="3103"/>
      <c r="E143" s="3104">
        <f t="shared" si="1"/>
        <v>0</v>
      </c>
      <c r="F143" s="705"/>
      <c r="G143" s="705"/>
      <c r="H143" s="705"/>
      <c r="I143" s="705"/>
      <c r="J143" s="705"/>
    </row>
    <row r="144" spans="1:10" s="2228" customFormat="1" ht="18" customHeight="1">
      <c r="A144" s="3377" t="s">
        <v>1545</v>
      </c>
      <c r="B144" s="2711"/>
      <c r="C144" s="2713">
        <f>C145+C146</f>
        <v>0</v>
      </c>
      <c r="D144" s="2713">
        <f>D145+D146</f>
        <v>0</v>
      </c>
      <c r="E144" s="2712">
        <f t="shared" si="1"/>
        <v>0</v>
      </c>
      <c r="F144" s="705"/>
      <c r="G144" s="705"/>
      <c r="H144" s="705"/>
      <c r="I144" s="705"/>
      <c r="J144" s="705"/>
    </row>
    <row r="145" spans="1:10" s="2228" customFormat="1" ht="18" customHeight="1">
      <c r="A145" s="3173" t="s">
        <v>2454</v>
      </c>
      <c r="B145" s="3048"/>
      <c r="C145" s="3049"/>
      <c r="D145" s="3050"/>
      <c r="E145" s="3051">
        <f t="shared" si="1"/>
        <v>0</v>
      </c>
      <c r="F145" s="705"/>
      <c r="G145" s="705"/>
      <c r="H145" s="705"/>
      <c r="I145" s="705"/>
      <c r="J145" s="705"/>
    </row>
    <row r="146" spans="1:10" s="2228" customFormat="1" ht="84">
      <c r="A146" s="3173" t="s">
        <v>2452</v>
      </c>
      <c r="B146" s="3048"/>
      <c r="C146" s="3049"/>
      <c r="D146" s="3050"/>
      <c r="E146" s="3051">
        <f t="shared" si="1"/>
        <v>0</v>
      </c>
      <c r="F146" s="705"/>
      <c r="G146" s="705"/>
      <c r="H146" s="705"/>
      <c r="I146" s="705"/>
      <c r="J146" s="705"/>
    </row>
    <row r="147" spans="1:10" s="2228" customFormat="1" ht="22.15" customHeight="1">
      <c r="A147" s="3375" t="s">
        <v>1546</v>
      </c>
      <c r="B147" s="3048"/>
      <c r="C147" s="3095">
        <f>C148+C149</f>
        <v>162372</v>
      </c>
      <c r="D147" s="3095">
        <f>D148+D149</f>
        <v>0</v>
      </c>
      <c r="E147" s="3051">
        <f t="shared" ref="E147:E217" si="2">C147+D147</f>
        <v>162372</v>
      </c>
      <c r="F147" s="705"/>
      <c r="G147" s="705"/>
      <c r="H147" s="705"/>
      <c r="I147" s="705"/>
      <c r="J147" s="705"/>
    </row>
    <row r="148" spans="1:10" s="2228" customFormat="1" ht="18" customHeight="1">
      <c r="A148" s="3173" t="s">
        <v>2454</v>
      </c>
      <c r="B148" s="3048"/>
      <c r="C148" s="3049">
        <v>162372</v>
      </c>
      <c r="D148" s="3050"/>
      <c r="E148" s="3051">
        <f t="shared" si="2"/>
        <v>162372</v>
      </c>
      <c r="F148" s="705"/>
      <c r="G148" s="705"/>
      <c r="H148" s="705"/>
      <c r="I148" s="705"/>
      <c r="J148" s="705"/>
    </row>
    <row r="149" spans="1:10" s="2228" customFormat="1" ht="84">
      <c r="A149" s="3173" t="s">
        <v>2452</v>
      </c>
      <c r="B149" s="3048"/>
      <c r="C149" s="3049"/>
      <c r="D149" s="3050"/>
      <c r="E149" s="3051">
        <f t="shared" si="2"/>
        <v>0</v>
      </c>
      <c r="F149" s="705"/>
      <c r="G149" s="705"/>
      <c r="H149" s="705"/>
      <c r="I149" s="705"/>
      <c r="J149" s="705"/>
    </row>
    <row r="150" spans="1:10" s="2228" customFormat="1" ht="18" customHeight="1">
      <c r="A150" s="3375" t="s">
        <v>1547</v>
      </c>
      <c r="B150" s="3048"/>
      <c r="C150" s="3095">
        <f>C151+C152+C153</f>
        <v>7791653</v>
      </c>
      <c r="D150" s="3095">
        <f>D151+D153+D152</f>
        <v>0</v>
      </c>
      <c r="E150" s="3051">
        <f t="shared" si="2"/>
        <v>7791653</v>
      </c>
      <c r="F150" s="705"/>
      <c r="G150" s="705"/>
      <c r="H150" s="705"/>
      <c r="I150" s="705"/>
      <c r="J150" s="705"/>
    </row>
    <row r="151" spans="1:10" s="2228" customFormat="1" ht="18" customHeight="1">
      <c r="A151" s="3173" t="s">
        <v>2454</v>
      </c>
      <c r="B151" s="3048"/>
      <c r="C151" s="3049">
        <v>7791653</v>
      </c>
      <c r="D151" s="3049"/>
      <c r="E151" s="3051">
        <f t="shared" si="2"/>
        <v>7791653</v>
      </c>
      <c r="F151" s="705"/>
      <c r="G151" s="705"/>
      <c r="H151" s="705"/>
      <c r="I151" s="705"/>
      <c r="J151" s="705"/>
    </row>
    <row r="152" spans="1:10" s="2228" customFormat="1" ht="18" hidden="1" customHeight="1">
      <c r="A152" s="3173" t="s">
        <v>2475</v>
      </c>
      <c r="B152" s="3048"/>
      <c r="C152" s="3049"/>
      <c r="D152" s="3049"/>
      <c r="E152" s="3051">
        <f t="shared" si="2"/>
        <v>0</v>
      </c>
      <c r="F152" s="705"/>
      <c r="G152" s="705"/>
      <c r="H152" s="705"/>
      <c r="I152" s="705"/>
      <c r="J152" s="705"/>
    </row>
    <row r="153" spans="1:10" s="2228" customFormat="1" ht="84">
      <c r="A153" s="3173" t="s">
        <v>2452</v>
      </c>
      <c r="B153" s="3048"/>
      <c r="C153" s="3049"/>
      <c r="D153" s="3049"/>
      <c r="E153" s="3051">
        <f t="shared" si="2"/>
        <v>0</v>
      </c>
      <c r="F153" s="705"/>
      <c r="G153" s="705"/>
      <c r="H153" s="705"/>
      <c r="I153" s="705"/>
      <c r="J153" s="705"/>
    </row>
    <row r="154" spans="1:10" s="2228" customFormat="1" ht="18" customHeight="1">
      <c r="A154" s="3375" t="s">
        <v>1548</v>
      </c>
      <c r="B154" s="3048"/>
      <c r="C154" s="3095">
        <f>C155+C156</f>
        <v>0</v>
      </c>
      <c r="D154" s="3095">
        <f>D155+D156</f>
        <v>0</v>
      </c>
      <c r="E154" s="3051">
        <f t="shared" si="2"/>
        <v>0</v>
      </c>
      <c r="F154" s="705"/>
      <c r="G154" s="705"/>
      <c r="H154" s="705"/>
      <c r="I154" s="705"/>
      <c r="J154" s="705"/>
    </row>
    <row r="155" spans="1:10" s="2228" customFormat="1" ht="18" customHeight="1">
      <c r="A155" s="3173" t="s">
        <v>2454</v>
      </c>
      <c r="B155" s="3063"/>
      <c r="C155" s="3057"/>
      <c r="D155" s="3086"/>
      <c r="E155" s="3066">
        <f t="shared" si="2"/>
        <v>0</v>
      </c>
      <c r="F155" s="705"/>
      <c r="G155" s="705"/>
      <c r="H155" s="705"/>
      <c r="I155" s="705"/>
      <c r="J155" s="705"/>
    </row>
    <row r="156" spans="1:10" s="2228" customFormat="1" ht="84">
      <c r="A156" s="3173" t="s">
        <v>2452</v>
      </c>
      <c r="B156" s="3063"/>
      <c r="C156" s="3057"/>
      <c r="D156" s="3086"/>
      <c r="E156" s="3066">
        <f t="shared" si="2"/>
        <v>0</v>
      </c>
      <c r="F156" s="705"/>
      <c r="G156" s="705"/>
      <c r="H156" s="705"/>
      <c r="I156" s="705"/>
      <c r="J156" s="705"/>
    </row>
    <row r="157" spans="1:10" s="2228" customFormat="1" ht="48">
      <c r="A157" s="3378" t="s">
        <v>1549</v>
      </c>
      <c r="B157" s="3048"/>
      <c r="C157" s="3075">
        <f>+C158+C161+C162+C163+C164</f>
        <v>7877982</v>
      </c>
      <c r="D157" s="3075">
        <f>+D158+D161+D162+D163+D164</f>
        <v>0</v>
      </c>
      <c r="E157" s="3074">
        <f t="shared" si="2"/>
        <v>7877982</v>
      </c>
      <c r="F157" s="705"/>
      <c r="G157" s="705"/>
      <c r="H157" s="705"/>
      <c r="I157" s="705"/>
      <c r="J157" s="705"/>
    </row>
    <row r="158" spans="1:10" s="2228" customFormat="1" ht="36">
      <c r="A158" s="3172" t="s">
        <v>1550</v>
      </c>
      <c r="B158" s="3048"/>
      <c r="C158" s="3095">
        <f>C159+C160</f>
        <v>7377214</v>
      </c>
      <c r="D158" s="3095">
        <f>D159+D160</f>
        <v>0</v>
      </c>
      <c r="E158" s="3051">
        <f t="shared" si="2"/>
        <v>7377214</v>
      </c>
      <c r="F158" s="705"/>
      <c r="G158" s="705"/>
      <c r="H158" s="705"/>
      <c r="I158" s="705"/>
      <c r="J158" s="705"/>
    </row>
    <row r="159" spans="1:10" s="2228" customFormat="1" ht="18" customHeight="1">
      <c r="A159" s="3173" t="s">
        <v>2454</v>
      </c>
      <c r="B159" s="3048"/>
      <c r="C159" s="3049">
        <v>7377214</v>
      </c>
      <c r="D159" s="3050"/>
      <c r="E159" s="3051">
        <f t="shared" si="2"/>
        <v>7377214</v>
      </c>
      <c r="F159" s="705"/>
      <c r="G159" s="705"/>
      <c r="H159" s="705"/>
      <c r="I159" s="705"/>
      <c r="J159" s="705"/>
    </row>
    <row r="160" spans="1:10" s="2228" customFormat="1" ht="84">
      <c r="A160" s="3173" t="s">
        <v>2452</v>
      </c>
      <c r="B160" s="3048"/>
      <c r="C160" s="3049"/>
      <c r="D160" s="3050"/>
      <c r="E160" s="3051">
        <f t="shared" si="2"/>
        <v>0</v>
      </c>
      <c r="F160" s="705"/>
      <c r="G160" s="705"/>
      <c r="H160" s="705"/>
      <c r="I160" s="705"/>
      <c r="J160" s="705"/>
    </row>
    <row r="161" spans="1:10" s="2228" customFormat="1" ht="26.45" customHeight="1">
      <c r="A161" s="3171" t="s">
        <v>2567</v>
      </c>
      <c r="B161" s="3048"/>
      <c r="C161" s="3049"/>
      <c r="D161" s="3050"/>
      <c r="E161" s="3051">
        <f t="shared" si="2"/>
        <v>0</v>
      </c>
      <c r="F161" s="705"/>
      <c r="G161" s="705"/>
      <c r="H161" s="705"/>
      <c r="I161" s="705"/>
      <c r="J161" s="705"/>
    </row>
    <row r="162" spans="1:10" s="2228" customFormat="1" ht="24" customHeight="1">
      <c r="A162" s="3172" t="s">
        <v>2421</v>
      </c>
      <c r="B162" s="3048"/>
      <c r="C162" s="3049">
        <v>500768</v>
      </c>
      <c r="D162" s="3050"/>
      <c r="E162" s="3051">
        <f t="shared" si="2"/>
        <v>500768</v>
      </c>
      <c r="F162" s="705"/>
      <c r="G162" s="705"/>
      <c r="H162" s="705"/>
      <c r="I162" s="705"/>
      <c r="J162" s="705"/>
    </row>
    <row r="163" spans="1:10" s="2228" customFormat="1" ht="23.45" customHeight="1">
      <c r="A163" s="3172" t="s">
        <v>2292</v>
      </c>
      <c r="B163" s="3048"/>
      <c r="C163" s="3049"/>
      <c r="D163" s="3050"/>
      <c r="E163" s="3051">
        <f t="shared" si="2"/>
        <v>0</v>
      </c>
      <c r="F163" s="705"/>
      <c r="G163" s="705"/>
      <c r="H163" s="705"/>
      <c r="I163" s="705"/>
      <c r="J163" s="705"/>
    </row>
    <row r="164" spans="1:10" s="2228" customFormat="1" ht="25.9" customHeight="1">
      <c r="A164" s="3172" t="s">
        <v>2123</v>
      </c>
      <c r="B164" s="3048"/>
      <c r="C164" s="3095">
        <f>C165+C166</f>
        <v>0</v>
      </c>
      <c r="D164" s="3095">
        <f>D165+D166</f>
        <v>0</v>
      </c>
      <c r="E164" s="3051">
        <f t="shared" si="2"/>
        <v>0</v>
      </c>
      <c r="F164" s="705"/>
      <c r="G164" s="705"/>
      <c r="H164" s="705"/>
      <c r="I164" s="705"/>
      <c r="J164" s="705"/>
    </row>
    <row r="165" spans="1:10" s="2228" customFormat="1" ht="25.9" customHeight="1">
      <c r="A165" s="3173" t="s">
        <v>2454</v>
      </c>
      <c r="B165" s="3048"/>
      <c r="C165" s="3049"/>
      <c r="D165" s="3050"/>
      <c r="E165" s="3051">
        <f t="shared" si="2"/>
        <v>0</v>
      </c>
      <c r="F165" s="705"/>
      <c r="G165" s="705"/>
      <c r="H165" s="705"/>
      <c r="I165" s="705"/>
      <c r="J165" s="705"/>
    </row>
    <row r="166" spans="1:10" s="2228" customFormat="1" ht="84">
      <c r="A166" s="3173" t="s">
        <v>2452</v>
      </c>
      <c r="B166" s="3048"/>
      <c r="C166" s="3049"/>
      <c r="D166" s="3050"/>
      <c r="E166" s="3051">
        <f t="shared" si="2"/>
        <v>0</v>
      </c>
      <c r="F166" s="705"/>
      <c r="G166" s="705"/>
      <c r="H166" s="705"/>
      <c r="I166" s="705"/>
      <c r="J166" s="705"/>
    </row>
    <row r="167" spans="1:10" s="2228" customFormat="1" ht="24">
      <c r="A167" s="3358" t="s">
        <v>832</v>
      </c>
      <c r="B167" s="3056" t="s">
        <v>833</v>
      </c>
      <c r="C167" s="3075">
        <f>C169+C172+C175+C178+C181+C182+C183+C186+C187+C188</f>
        <v>1141735</v>
      </c>
      <c r="D167" s="3075">
        <f>D169+D172+D175+D178+D181+D182+D183+D186+D187+D188</f>
        <v>0</v>
      </c>
      <c r="E167" s="3051">
        <f t="shared" si="2"/>
        <v>1141735</v>
      </c>
      <c r="F167" s="705"/>
      <c r="G167" s="705"/>
      <c r="H167" s="705"/>
      <c r="I167" s="705"/>
      <c r="J167" s="705"/>
    </row>
    <row r="168" spans="1:10" s="2228" customFormat="1" ht="18" hidden="1" customHeight="1">
      <c r="A168" s="3372" t="s">
        <v>1539</v>
      </c>
      <c r="B168" s="3056"/>
      <c r="C168" s="3096"/>
      <c r="D168" s="3075"/>
      <c r="E168" s="3074">
        <f t="shared" si="2"/>
        <v>0</v>
      </c>
      <c r="F168" s="705"/>
      <c r="G168" s="705"/>
      <c r="H168" s="705"/>
      <c r="I168" s="705"/>
      <c r="J168" s="705"/>
    </row>
    <row r="169" spans="1:10" s="2228" customFormat="1" ht="18" customHeight="1">
      <c r="A169" s="3375" t="s">
        <v>1544</v>
      </c>
      <c r="B169" s="3048"/>
      <c r="C169" s="3095">
        <f>C170+C171</f>
        <v>938664</v>
      </c>
      <c r="D169" s="3095">
        <f>D170+D171</f>
        <v>0</v>
      </c>
      <c r="E169" s="3051">
        <f t="shared" si="2"/>
        <v>938664</v>
      </c>
      <c r="F169" s="705"/>
      <c r="G169" s="705"/>
      <c r="H169" s="705"/>
      <c r="I169" s="705"/>
      <c r="J169" s="705"/>
    </row>
    <row r="170" spans="1:10" s="2228" customFormat="1" ht="18" customHeight="1">
      <c r="A170" s="3173" t="s">
        <v>2454</v>
      </c>
      <c r="B170" s="3048"/>
      <c r="C170" s="3049">
        <v>938664</v>
      </c>
      <c r="D170" s="3050"/>
      <c r="E170" s="3051">
        <f t="shared" si="2"/>
        <v>938664</v>
      </c>
      <c r="F170" s="705"/>
      <c r="G170" s="705"/>
      <c r="H170" s="705"/>
      <c r="I170" s="705"/>
      <c r="J170" s="705"/>
    </row>
    <row r="171" spans="1:10" s="2228" customFormat="1" ht="84">
      <c r="A171" s="3376" t="s">
        <v>2452</v>
      </c>
      <c r="B171" s="3101"/>
      <c r="C171" s="3102"/>
      <c r="D171" s="3103"/>
      <c r="E171" s="3104">
        <f t="shared" si="2"/>
        <v>0</v>
      </c>
      <c r="F171" s="705"/>
      <c r="G171" s="705"/>
      <c r="H171" s="705"/>
      <c r="I171" s="705"/>
      <c r="J171" s="705"/>
    </row>
    <row r="172" spans="1:10" s="2228" customFormat="1" ht="60">
      <c r="A172" s="3377" t="s">
        <v>2056</v>
      </c>
      <c r="B172" s="2711"/>
      <c r="C172" s="2713">
        <f>C173+C174</f>
        <v>44581</v>
      </c>
      <c r="D172" s="2713">
        <f>D173+D174</f>
        <v>0</v>
      </c>
      <c r="E172" s="2712">
        <f t="shared" si="2"/>
        <v>44581</v>
      </c>
      <c r="F172" s="705"/>
      <c r="G172" s="705"/>
      <c r="H172" s="705"/>
      <c r="I172" s="705"/>
      <c r="J172" s="705"/>
    </row>
    <row r="173" spans="1:10" s="2228" customFormat="1" ht="18" customHeight="1">
      <c r="A173" s="3173" t="s">
        <v>2454</v>
      </c>
      <c r="B173" s="3048"/>
      <c r="C173" s="3049">
        <v>44581</v>
      </c>
      <c r="D173" s="3050"/>
      <c r="E173" s="3051">
        <f t="shared" si="2"/>
        <v>44581</v>
      </c>
      <c r="F173" s="705"/>
      <c r="G173" s="705"/>
      <c r="H173" s="705"/>
      <c r="I173" s="705"/>
      <c r="J173" s="705"/>
    </row>
    <row r="174" spans="1:10" s="2228" customFormat="1" ht="84.6" customHeight="1">
      <c r="A174" s="3173" t="s">
        <v>2452</v>
      </c>
      <c r="B174" s="3048"/>
      <c r="C174" s="3049"/>
      <c r="D174" s="3050"/>
      <c r="E174" s="3051">
        <f t="shared" si="2"/>
        <v>0</v>
      </c>
      <c r="F174" s="705"/>
      <c r="G174" s="705"/>
      <c r="H174" s="705"/>
      <c r="I174" s="705"/>
      <c r="J174" s="705"/>
    </row>
    <row r="175" spans="1:10" s="2228" customFormat="1" ht="18" customHeight="1">
      <c r="A175" s="3375" t="s">
        <v>1551</v>
      </c>
      <c r="B175" s="3048"/>
      <c r="C175" s="3095">
        <f>C176+C177</f>
        <v>158490</v>
      </c>
      <c r="D175" s="3095">
        <f>D176+D177</f>
        <v>0</v>
      </c>
      <c r="E175" s="3051">
        <f t="shared" si="2"/>
        <v>158490</v>
      </c>
      <c r="F175" s="705"/>
      <c r="G175" s="705"/>
      <c r="H175" s="705"/>
      <c r="I175" s="705"/>
      <c r="J175" s="705"/>
    </row>
    <row r="176" spans="1:10" s="2228" customFormat="1" ht="18" customHeight="1">
      <c r="A176" s="3173" t="s">
        <v>2454</v>
      </c>
      <c r="B176" s="3048"/>
      <c r="C176" s="3049">
        <v>158490</v>
      </c>
      <c r="D176" s="3050"/>
      <c r="E176" s="3051">
        <f>C176+D176</f>
        <v>158490</v>
      </c>
      <c r="F176" s="705"/>
      <c r="G176" s="705"/>
      <c r="H176" s="705"/>
      <c r="I176" s="705"/>
      <c r="J176" s="705"/>
    </row>
    <row r="177" spans="1:10" s="2228" customFormat="1" ht="84">
      <c r="A177" s="3173" t="s">
        <v>2452</v>
      </c>
      <c r="B177" s="3048"/>
      <c r="C177" s="3049"/>
      <c r="D177" s="3050"/>
      <c r="E177" s="3051">
        <f t="shared" si="2"/>
        <v>0</v>
      </c>
      <c r="F177" s="705"/>
      <c r="G177" s="705"/>
      <c r="H177" s="705"/>
      <c r="I177" s="705"/>
      <c r="J177" s="705"/>
    </row>
    <row r="178" spans="1:10" s="2228" customFormat="1" ht="24">
      <c r="A178" s="3375" t="s">
        <v>1552</v>
      </c>
      <c r="B178" s="3048"/>
      <c r="C178" s="3095">
        <f>C179+C180</f>
        <v>0</v>
      </c>
      <c r="D178" s="3095">
        <f>D179+D180</f>
        <v>0</v>
      </c>
      <c r="E178" s="3051">
        <f t="shared" si="2"/>
        <v>0</v>
      </c>
      <c r="F178" s="705"/>
      <c r="G178" s="705"/>
      <c r="H178" s="705"/>
      <c r="I178" s="705"/>
      <c r="J178" s="705"/>
    </row>
    <row r="179" spans="1:10" s="2228" customFormat="1" ht="14.25">
      <c r="A179" s="3375" t="s">
        <v>2454</v>
      </c>
      <c r="B179" s="3048"/>
      <c r="C179" s="3049"/>
      <c r="D179" s="3050"/>
      <c r="E179" s="3051">
        <f t="shared" si="2"/>
        <v>0</v>
      </c>
      <c r="F179" s="705"/>
      <c r="G179" s="705"/>
      <c r="H179" s="705"/>
      <c r="I179" s="705"/>
      <c r="J179" s="705"/>
    </row>
    <row r="180" spans="1:10" s="2228" customFormat="1" ht="84">
      <c r="A180" s="3375" t="s">
        <v>2452</v>
      </c>
      <c r="B180" s="3048"/>
      <c r="C180" s="3049"/>
      <c r="D180" s="3050"/>
      <c r="E180" s="3051">
        <f t="shared" si="2"/>
        <v>0</v>
      </c>
      <c r="F180" s="705"/>
      <c r="G180" s="705"/>
      <c r="H180" s="705"/>
      <c r="I180" s="705"/>
      <c r="J180" s="705"/>
    </row>
    <row r="181" spans="1:10" s="2228" customFormat="1" ht="24">
      <c r="A181" s="3375" t="s">
        <v>1553</v>
      </c>
      <c r="B181" s="3048"/>
      <c r="C181" s="3049"/>
      <c r="D181" s="3050"/>
      <c r="E181" s="3051">
        <f t="shared" si="2"/>
        <v>0</v>
      </c>
      <c r="F181" s="705"/>
      <c r="G181" s="705"/>
      <c r="H181" s="705"/>
      <c r="I181" s="705"/>
      <c r="J181" s="705"/>
    </row>
    <row r="182" spans="1:10" s="2228" customFormat="1" ht="24">
      <c r="A182" s="3375" t="s">
        <v>1554</v>
      </c>
      <c r="B182" s="3048"/>
      <c r="C182" s="3049"/>
      <c r="D182" s="3050"/>
      <c r="E182" s="3051">
        <f t="shared" si="2"/>
        <v>0</v>
      </c>
      <c r="F182" s="705"/>
      <c r="G182" s="705"/>
      <c r="H182" s="705"/>
      <c r="I182" s="705"/>
      <c r="J182" s="705"/>
    </row>
    <row r="183" spans="1:10" s="2228" customFormat="1" ht="18" customHeight="1">
      <c r="A183" s="3375" t="s">
        <v>1555</v>
      </c>
      <c r="B183" s="3048"/>
      <c r="C183" s="3095">
        <f>C184+C185</f>
        <v>0</v>
      </c>
      <c r="D183" s="3095">
        <f>D184+D185</f>
        <v>0</v>
      </c>
      <c r="E183" s="3051">
        <f t="shared" si="2"/>
        <v>0</v>
      </c>
      <c r="F183" s="705"/>
      <c r="G183" s="705"/>
      <c r="H183" s="705"/>
      <c r="I183" s="705"/>
      <c r="J183" s="705"/>
    </row>
    <row r="184" spans="1:10" s="2228" customFormat="1" ht="18" customHeight="1">
      <c r="A184" s="3173" t="s">
        <v>2454</v>
      </c>
      <c r="B184" s="3048"/>
      <c r="C184" s="3049"/>
      <c r="D184" s="3050"/>
      <c r="E184" s="3051">
        <f t="shared" si="2"/>
        <v>0</v>
      </c>
      <c r="F184" s="705"/>
      <c r="G184" s="705"/>
      <c r="H184" s="705"/>
      <c r="I184" s="705"/>
      <c r="J184" s="705"/>
    </row>
    <row r="185" spans="1:10" s="2228" customFormat="1" ht="84">
      <c r="A185" s="3173" t="s">
        <v>2452</v>
      </c>
      <c r="B185" s="3048"/>
      <c r="C185" s="3049"/>
      <c r="D185" s="3050"/>
      <c r="E185" s="3051">
        <f t="shared" si="2"/>
        <v>0</v>
      </c>
      <c r="F185" s="705"/>
      <c r="G185" s="705"/>
      <c r="H185" s="705"/>
      <c r="I185" s="705"/>
      <c r="J185" s="705"/>
    </row>
    <row r="186" spans="1:10" s="2228" customFormat="1" ht="48">
      <c r="A186" s="3375" t="s">
        <v>2568</v>
      </c>
      <c r="B186" s="3048"/>
      <c r="C186" s="3049"/>
      <c r="D186" s="3050"/>
      <c r="E186" s="3051">
        <f t="shared" si="2"/>
        <v>0</v>
      </c>
      <c r="F186" s="705"/>
      <c r="G186" s="705"/>
      <c r="H186" s="705"/>
      <c r="I186" s="705"/>
      <c r="J186" s="705"/>
    </row>
    <row r="187" spans="1:10" s="2228" customFormat="1" ht="24">
      <c r="A187" s="3375" t="s">
        <v>1557</v>
      </c>
      <c r="B187" s="3048"/>
      <c r="C187" s="3049"/>
      <c r="D187" s="3050"/>
      <c r="E187" s="3051">
        <f t="shared" si="2"/>
        <v>0</v>
      </c>
      <c r="F187" s="705"/>
      <c r="G187" s="705"/>
      <c r="H187" s="705"/>
      <c r="I187" s="705"/>
      <c r="J187" s="705"/>
    </row>
    <row r="188" spans="1:10" s="2228" customFormat="1" ht="36">
      <c r="A188" s="3379" t="s">
        <v>1558</v>
      </c>
      <c r="B188" s="3069"/>
      <c r="C188" s="3084">
        <f>C189+C192+C193+C196</f>
        <v>0</v>
      </c>
      <c r="D188" s="3084">
        <f>D189+D192+D193+D196</f>
        <v>0</v>
      </c>
      <c r="E188" s="3061">
        <f t="shared" si="2"/>
        <v>0</v>
      </c>
      <c r="F188" s="705"/>
      <c r="G188" s="705"/>
      <c r="H188" s="705"/>
      <c r="I188" s="705"/>
      <c r="J188" s="705"/>
    </row>
    <row r="189" spans="1:10" s="2228" customFormat="1" ht="18" customHeight="1">
      <c r="A189" s="3375" t="s">
        <v>1264</v>
      </c>
      <c r="B189" s="3048"/>
      <c r="C189" s="3095">
        <f>C190+C191</f>
        <v>0</v>
      </c>
      <c r="D189" s="3095">
        <f>D190+D191</f>
        <v>0</v>
      </c>
      <c r="E189" s="3051">
        <f t="shared" si="2"/>
        <v>0</v>
      </c>
      <c r="F189" s="705"/>
      <c r="G189" s="705"/>
      <c r="H189" s="705"/>
      <c r="I189" s="705"/>
      <c r="J189" s="705"/>
    </row>
    <row r="190" spans="1:10" s="2228" customFormat="1" ht="18" customHeight="1">
      <c r="A190" s="3173" t="s">
        <v>2454</v>
      </c>
      <c r="B190" s="3048"/>
      <c r="C190" s="3049"/>
      <c r="D190" s="3050"/>
      <c r="E190" s="3051">
        <f t="shared" si="2"/>
        <v>0</v>
      </c>
      <c r="F190" s="705"/>
      <c r="G190" s="705"/>
      <c r="H190" s="705"/>
      <c r="I190" s="705"/>
      <c r="J190" s="705"/>
    </row>
    <row r="191" spans="1:10" s="2228" customFormat="1" ht="84">
      <c r="A191" s="3173" t="s">
        <v>2452</v>
      </c>
      <c r="B191" s="3048"/>
      <c r="C191" s="3049"/>
      <c r="D191" s="3050"/>
      <c r="E191" s="3051">
        <f t="shared" si="2"/>
        <v>0</v>
      </c>
      <c r="F191" s="705"/>
      <c r="G191" s="705"/>
      <c r="H191" s="705"/>
      <c r="I191" s="705"/>
      <c r="J191" s="705"/>
    </row>
    <row r="192" spans="1:10" s="2228" customFormat="1" ht="36">
      <c r="A192" s="3375" t="s">
        <v>1559</v>
      </c>
      <c r="B192" s="3048"/>
      <c r="C192" s="3049"/>
      <c r="D192" s="3050"/>
      <c r="E192" s="3051">
        <f t="shared" si="2"/>
        <v>0</v>
      </c>
      <c r="F192" s="705"/>
      <c r="G192" s="705"/>
      <c r="H192" s="705"/>
      <c r="I192" s="705"/>
      <c r="J192" s="705"/>
    </row>
    <row r="193" spans="1:10" s="2228" customFormat="1" ht="36">
      <c r="A193" s="3375" t="s">
        <v>1266</v>
      </c>
      <c r="B193" s="3048"/>
      <c r="C193" s="3095">
        <f>C194+C195</f>
        <v>0</v>
      </c>
      <c r="D193" s="3095">
        <f>D194+D195</f>
        <v>0</v>
      </c>
      <c r="E193" s="3051">
        <f t="shared" si="2"/>
        <v>0</v>
      </c>
      <c r="F193" s="705"/>
      <c r="G193" s="705"/>
      <c r="H193" s="705"/>
      <c r="I193" s="705"/>
      <c r="J193" s="705"/>
    </row>
    <row r="194" spans="1:10" s="2228" customFormat="1" ht="14.25">
      <c r="A194" s="3173" t="s">
        <v>2454</v>
      </c>
      <c r="B194" s="3048"/>
      <c r="C194" s="3049"/>
      <c r="D194" s="3050"/>
      <c r="E194" s="3051">
        <f t="shared" si="2"/>
        <v>0</v>
      </c>
      <c r="F194" s="705"/>
      <c r="G194" s="705"/>
      <c r="H194" s="705"/>
      <c r="I194" s="705"/>
      <c r="J194" s="705"/>
    </row>
    <row r="195" spans="1:10" s="2228" customFormat="1" ht="84">
      <c r="A195" s="3173" t="s">
        <v>2452</v>
      </c>
      <c r="B195" s="3048"/>
      <c r="C195" s="3049"/>
      <c r="D195" s="3050"/>
      <c r="E195" s="3051">
        <f t="shared" si="2"/>
        <v>0</v>
      </c>
      <c r="F195" s="705"/>
      <c r="G195" s="705"/>
      <c r="H195" s="705"/>
      <c r="I195" s="705"/>
      <c r="J195" s="705"/>
    </row>
    <row r="196" spans="1:10" s="2228" customFormat="1" ht="36">
      <c r="A196" s="3375" t="s">
        <v>1267</v>
      </c>
      <c r="B196" s="3048"/>
      <c r="C196" s="3049"/>
      <c r="D196" s="3050"/>
      <c r="E196" s="3051">
        <f t="shared" si="2"/>
        <v>0</v>
      </c>
      <c r="F196" s="705"/>
      <c r="G196" s="705"/>
      <c r="H196" s="705"/>
      <c r="I196" s="705"/>
      <c r="J196" s="705"/>
    </row>
    <row r="197" spans="1:10" s="2228" customFormat="1" ht="24">
      <c r="A197" s="3358" t="s">
        <v>834</v>
      </c>
      <c r="B197" s="3056" t="s">
        <v>835</v>
      </c>
      <c r="C197" s="3075">
        <f>C198+C199</f>
        <v>10721000</v>
      </c>
      <c r="D197" s="3075">
        <f>D198+D199</f>
        <v>0</v>
      </c>
      <c r="E197" s="3074">
        <f t="shared" si="2"/>
        <v>10721000</v>
      </c>
      <c r="F197" s="705"/>
      <c r="G197" s="705"/>
      <c r="H197" s="705"/>
      <c r="I197" s="705"/>
      <c r="J197" s="705"/>
    </row>
    <row r="198" spans="1:10" s="2228" customFormat="1" ht="18" customHeight="1">
      <c r="A198" s="3173" t="s">
        <v>2454</v>
      </c>
      <c r="B198" s="3056"/>
      <c r="C198" s="3057">
        <v>10721000</v>
      </c>
      <c r="D198" s="3086"/>
      <c r="E198" s="3066">
        <f t="shared" si="2"/>
        <v>10721000</v>
      </c>
      <c r="F198" s="705"/>
      <c r="G198" s="705"/>
      <c r="H198" s="705"/>
      <c r="I198" s="705"/>
      <c r="J198" s="705"/>
    </row>
    <row r="199" spans="1:10" s="2228" customFormat="1" ht="84">
      <c r="A199" s="3173" t="s">
        <v>2452</v>
      </c>
      <c r="B199" s="3056"/>
      <c r="C199" s="3057"/>
      <c r="D199" s="3086"/>
      <c r="E199" s="3066">
        <f t="shared" si="2"/>
        <v>0</v>
      </c>
      <c r="F199" s="705"/>
      <c r="G199" s="705"/>
      <c r="H199" s="705"/>
      <c r="I199" s="705"/>
      <c r="J199" s="705"/>
    </row>
    <row r="200" spans="1:10" s="2228" customFormat="1" ht="18" customHeight="1">
      <c r="A200" s="3358" t="s">
        <v>836</v>
      </c>
      <c r="B200" s="3056" t="s">
        <v>837</v>
      </c>
      <c r="C200" s="3075">
        <f>C201+C202</f>
        <v>1818000</v>
      </c>
      <c r="D200" s="3075">
        <f>D201+D202</f>
        <v>0</v>
      </c>
      <c r="E200" s="3074">
        <f t="shared" si="2"/>
        <v>1818000</v>
      </c>
      <c r="F200" s="705"/>
      <c r="G200" s="705"/>
      <c r="H200" s="705"/>
      <c r="I200" s="705"/>
      <c r="J200" s="705"/>
    </row>
    <row r="201" spans="1:10" s="2228" customFormat="1" ht="18" customHeight="1">
      <c r="A201" s="3173" t="s">
        <v>2454</v>
      </c>
      <c r="B201" s="3056"/>
      <c r="C201" s="3057">
        <v>1818000</v>
      </c>
      <c r="D201" s="3086"/>
      <c r="E201" s="3066">
        <f t="shared" si="2"/>
        <v>1818000</v>
      </c>
      <c r="F201" s="705"/>
      <c r="G201" s="705"/>
      <c r="H201" s="705"/>
      <c r="I201" s="705"/>
      <c r="J201" s="705"/>
    </row>
    <row r="202" spans="1:10" s="2228" customFormat="1" ht="84">
      <c r="A202" s="3173" t="s">
        <v>2452</v>
      </c>
      <c r="B202" s="3056"/>
      <c r="C202" s="3057"/>
      <c r="D202" s="3086"/>
      <c r="E202" s="3066">
        <f t="shared" si="2"/>
        <v>0</v>
      </c>
      <c r="F202" s="705"/>
      <c r="G202" s="705"/>
      <c r="H202" s="705"/>
      <c r="I202" s="705"/>
      <c r="J202" s="705"/>
    </row>
    <row r="203" spans="1:10" s="2228" customFormat="1" ht="18" customHeight="1">
      <c r="A203" s="3372" t="s">
        <v>838</v>
      </c>
      <c r="B203" s="3069" t="s">
        <v>839</v>
      </c>
      <c r="C203" s="3073">
        <f>+C204+C212+C218+C222+C236</f>
        <v>36262723</v>
      </c>
      <c r="D203" s="3073">
        <f>+D204+D212+D218+D222+D236</f>
        <v>-8736</v>
      </c>
      <c r="E203" s="3074">
        <f t="shared" si="2"/>
        <v>36253987</v>
      </c>
      <c r="F203" s="705"/>
      <c r="G203" s="705"/>
      <c r="H203" s="705"/>
      <c r="I203" s="705"/>
      <c r="J203" s="705"/>
    </row>
    <row r="204" spans="1:10" s="2228" customFormat="1" ht="18" customHeight="1">
      <c r="A204" s="3358" t="s">
        <v>840</v>
      </c>
      <c r="B204" s="3056" t="s">
        <v>841</v>
      </c>
      <c r="C204" s="3075">
        <f>C205+C206+C207+C209+C208+C210+C211</f>
        <v>19914765</v>
      </c>
      <c r="D204" s="3075">
        <f>D205+D206+D207+D209+D208+D210+D211</f>
        <v>-321</v>
      </c>
      <c r="E204" s="3074">
        <f>E205+E206+E207+E209+E208+E210+E211</f>
        <v>19914444</v>
      </c>
      <c r="F204" s="705"/>
      <c r="G204" s="705"/>
      <c r="H204" s="705"/>
      <c r="I204" s="705"/>
      <c r="J204" s="705"/>
    </row>
    <row r="205" spans="1:10" s="2228" customFormat="1" ht="18" customHeight="1">
      <c r="A205" s="3375" t="s">
        <v>1539</v>
      </c>
      <c r="B205" s="3048"/>
      <c r="C205" s="3049">
        <v>18546886</v>
      </c>
      <c r="D205" s="3050">
        <v>-321</v>
      </c>
      <c r="E205" s="3051">
        <f t="shared" si="2"/>
        <v>18546565</v>
      </c>
      <c r="F205" s="705"/>
      <c r="G205" s="705"/>
      <c r="H205" s="705"/>
      <c r="I205" s="705"/>
      <c r="J205" s="705"/>
    </row>
    <row r="206" spans="1:10" s="2228" customFormat="1" ht="18" customHeight="1">
      <c r="A206" s="3375" t="s">
        <v>1560</v>
      </c>
      <c r="B206" s="3048"/>
      <c r="C206" s="3049">
        <v>1147279</v>
      </c>
      <c r="D206" s="3050"/>
      <c r="E206" s="3051">
        <f t="shared" si="2"/>
        <v>1147279</v>
      </c>
      <c r="F206" s="705"/>
      <c r="G206" s="705"/>
      <c r="H206" s="705"/>
      <c r="I206" s="705"/>
      <c r="J206" s="705"/>
    </row>
    <row r="207" spans="1:10" s="2228" customFormat="1" ht="51">
      <c r="A207" s="3159" t="s">
        <v>2206</v>
      </c>
      <c r="B207" s="3048"/>
      <c r="C207" s="3049">
        <v>12600</v>
      </c>
      <c r="D207" s="3050"/>
      <c r="E207" s="3051">
        <f t="shared" si="2"/>
        <v>12600</v>
      </c>
      <c r="F207" s="705"/>
      <c r="G207" s="705"/>
      <c r="H207" s="705"/>
      <c r="I207" s="705"/>
      <c r="J207" s="705"/>
    </row>
    <row r="208" spans="1:10" s="2228" customFormat="1" ht="51" hidden="1">
      <c r="A208" s="3159" t="s">
        <v>2417</v>
      </c>
      <c r="B208" s="3048"/>
      <c r="C208" s="3049"/>
      <c r="D208" s="3050"/>
      <c r="E208" s="3051">
        <f t="shared" si="2"/>
        <v>0</v>
      </c>
      <c r="F208" s="705"/>
      <c r="G208" s="705"/>
      <c r="H208" s="705"/>
      <c r="I208" s="705"/>
      <c r="J208" s="705"/>
    </row>
    <row r="209" spans="1:10" s="2228" customFormat="1" ht="60">
      <c r="A209" s="3173" t="s">
        <v>2418</v>
      </c>
      <c r="B209" s="3048"/>
      <c r="C209" s="3049">
        <v>199000</v>
      </c>
      <c r="D209" s="3050"/>
      <c r="E209" s="3051">
        <f t="shared" si="2"/>
        <v>199000</v>
      </c>
      <c r="F209" s="705"/>
      <c r="G209" s="705"/>
      <c r="H209" s="705"/>
      <c r="I209" s="705"/>
      <c r="J209" s="705"/>
    </row>
    <row r="210" spans="1:10" s="2228" customFormat="1" ht="84">
      <c r="A210" s="3173" t="s">
        <v>2452</v>
      </c>
      <c r="B210" s="3048"/>
      <c r="C210" s="3049"/>
      <c r="D210" s="3050"/>
      <c r="E210" s="3051">
        <f t="shared" si="2"/>
        <v>0</v>
      </c>
      <c r="F210" s="705"/>
      <c r="G210" s="705"/>
      <c r="H210" s="705"/>
      <c r="I210" s="705"/>
      <c r="J210" s="705"/>
    </row>
    <row r="211" spans="1:10" s="2228" customFormat="1" ht="60">
      <c r="A211" s="3173" t="s">
        <v>2569</v>
      </c>
      <c r="B211" s="3048"/>
      <c r="C211" s="3049">
        <v>9000</v>
      </c>
      <c r="D211" s="3050"/>
      <c r="E211" s="3051">
        <f t="shared" si="2"/>
        <v>9000</v>
      </c>
      <c r="F211" s="705"/>
      <c r="G211" s="705"/>
      <c r="H211" s="705"/>
      <c r="I211" s="705"/>
      <c r="J211" s="705"/>
    </row>
    <row r="212" spans="1:10" s="2228" customFormat="1" ht="18" customHeight="1">
      <c r="A212" s="3358" t="s">
        <v>842</v>
      </c>
      <c r="B212" s="3056" t="s">
        <v>843</v>
      </c>
      <c r="C212" s="3075">
        <f>C213+C214+C215+C216+C217</f>
        <v>9665000</v>
      </c>
      <c r="D212" s="3075">
        <f t="shared" ref="D212:E212" si="3">D213+D214+D215+D216+D217</f>
        <v>-5575</v>
      </c>
      <c r="E212" s="3051">
        <f t="shared" si="3"/>
        <v>9659425</v>
      </c>
      <c r="F212" s="705"/>
      <c r="G212" s="705"/>
      <c r="H212" s="705"/>
      <c r="I212" s="705"/>
      <c r="J212" s="705"/>
    </row>
    <row r="213" spans="1:10" s="2228" customFormat="1" ht="18" customHeight="1">
      <c r="A213" s="3380" t="s">
        <v>1539</v>
      </c>
      <c r="B213" s="3056"/>
      <c r="C213" s="3057">
        <v>9665000</v>
      </c>
      <c r="D213" s="3057">
        <v>-5575</v>
      </c>
      <c r="E213" s="3051">
        <f t="shared" si="2"/>
        <v>9659425</v>
      </c>
      <c r="F213" s="705"/>
      <c r="G213" s="705"/>
      <c r="H213" s="705"/>
      <c r="I213" s="705"/>
      <c r="J213" s="705"/>
    </row>
    <row r="214" spans="1:10" s="2228" customFormat="1" ht="48" hidden="1">
      <c r="A214" s="3380" t="s">
        <v>2294</v>
      </c>
      <c r="B214" s="3056"/>
      <c r="C214" s="3057">
        <v>0</v>
      </c>
      <c r="D214" s="3057">
        <v>0</v>
      </c>
      <c r="E214" s="3066">
        <f t="shared" si="2"/>
        <v>0</v>
      </c>
      <c r="F214" s="705"/>
      <c r="G214" s="705"/>
      <c r="H214" s="705"/>
      <c r="I214" s="705"/>
      <c r="J214" s="705"/>
    </row>
    <row r="215" spans="1:10" s="2228" customFormat="1" ht="96" hidden="1">
      <c r="A215" s="3381" t="s">
        <v>2328</v>
      </c>
      <c r="B215" s="3056"/>
      <c r="C215" s="3057">
        <v>0</v>
      </c>
      <c r="D215" s="3057">
        <v>0</v>
      </c>
      <c r="E215" s="3066">
        <f t="shared" si="2"/>
        <v>0</v>
      </c>
      <c r="F215" s="705"/>
      <c r="G215" s="705"/>
      <c r="H215" s="705"/>
      <c r="I215" s="705"/>
      <c r="J215" s="705"/>
    </row>
    <row r="216" spans="1:10" s="2228" customFormat="1" ht="84">
      <c r="A216" s="3173" t="s">
        <v>2452</v>
      </c>
      <c r="B216" s="3056"/>
      <c r="C216" s="3057"/>
      <c r="D216" s="3057"/>
      <c r="E216" s="3066">
        <f t="shared" si="2"/>
        <v>0</v>
      </c>
      <c r="F216" s="705"/>
      <c r="G216" s="705"/>
      <c r="H216" s="705"/>
      <c r="I216" s="705"/>
      <c r="J216" s="705"/>
    </row>
    <row r="217" spans="1:10" s="2228" customFormat="1" ht="36">
      <c r="A217" s="3173" t="s">
        <v>2570</v>
      </c>
      <c r="B217" s="3056"/>
      <c r="C217" s="3057"/>
      <c r="D217" s="3057"/>
      <c r="E217" s="3066">
        <f t="shared" si="2"/>
        <v>0</v>
      </c>
      <c r="F217" s="705"/>
      <c r="G217" s="705"/>
      <c r="H217" s="705"/>
      <c r="I217" s="705"/>
      <c r="J217" s="705"/>
    </row>
    <row r="218" spans="1:10" s="2228" customFormat="1" ht="18" customHeight="1">
      <c r="A218" s="3358" t="s">
        <v>844</v>
      </c>
      <c r="B218" s="3056" t="s">
        <v>845</v>
      </c>
      <c r="C218" s="3075">
        <f>C219+C220+C221</f>
        <v>596152</v>
      </c>
      <c r="D218" s="3075">
        <f>D219+D220+D221</f>
        <v>-468</v>
      </c>
      <c r="E218" s="3074">
        <f t="shared" ref="E218:E246" si="4">C218+D218</f>
        <v>595684</v>
      </c>
      <c r="F218" s="705"/>
      <c r="G218" s="705"/>
      <c r="H218" s="705"/>
      <c r="I218" s="705"/>
      <c r="J218" s="705"/>
    </row>
    <row r="219" spans="1:10" s="2228" customFormat="1" ht="18" customHeight="1">
      <c r="A219" s="3375" t="s">
        <v>1539</v>
      </c>
      <c r="B219" s="3048"/>
      <c r="C219" s="3049">
        <v>596152</v>
      </c>
      <c r="D219" s="3050">
        <v>-468</v>
      </c>
      <c r="E219" s="3051">
        <f t="shared" si="4"/>
        <v>595684</v>
      </c>
      <c r="F219" s="705"/>
      <c r="G219" s="705"/>
      <c r="H219" s="705"/>
      <c r="I219" s="705"/>
      <c r="J219" s="705"/>
    </row>
    <row r="220" spans="1:10" s="2228" customFormat="1" ht="18" customHeight="1">
      <c r="A220" s="3375" t="s">
        <v>1540</v>
      </c>
      <c r="B220" s="3048"/>
      <c r="C220" s="3049"/>
      <c r="D220" s="3050"/>
      <c r="E220" s="3051">
        <f t="shared" si="4"/>
        <v>0</v>
      </c>
      <c r="F220" s="705"/>
      <c r="G220" s="705"/>
      <c r="H220" s="705"/>
      <c r="I220" s="705"/>
      <c r="J220" s="705"/>
    </row>
    <row r="221" spans="1:10" s="2228" customFormat="1" ht="90" customHeight="1">
      <c r="A221" s="3173" t="s">
        <v>2452</v>
      </c>
      <c r="B221" s="3048"/>
      <c r="C221" s="3049"/>
      <c r="D221" s="3050"/>
      <c r="E221" s="3051">
        <f t="shared" si="4"/>
        <v>0</v>
      </c>
      <c r="F221" s="705"/>
      <c r="G221" s="705"/>
      <c r="H221" s="705"/>
      <c r="I221" s="705"/>
      <c r="J221" s="705"/>
    </row>
    <row r="222" spans="1:10" s="2228" customFormat="1" ht="24">
      <c r="A222" s="3358" t="s">
        <v>846</v>
      </c>
      <c r="B222" s="3056" t="s">
        <v>847</v>
      </c>
      <c r="C222" s="3075">
        <f>C223+C225+C234+C224</f>
        <v>5536700</v>
      </c>
      <c r="D222" s="3075">
        <f t="shared" ref="D222:E222" si="5">D223+D225+D234+D224</f>
        <v>-1916</v>
      </c>
      <c r="E222" s="3074">
        <f t="shared" si="5"/>
        <v>5534784</v>
      </c>
      <c r="F222" s="705"/>
      <c r="G222" s="705"/>
      <c r="H222" s="705"/>
      <c r="I222" s="705"/>
      <c r="J222" s="705"/>
    </row>
    <row r="223" spans="1:10" s="2228" customFormat="1" ht="18" customHeight="1">
      <c r="A223" s="3375" t="s">
        <v>1539</v>
      </c>
      <c r="B223" s="3048"/>
      <c r="C223" s="3049">
        <v>5536700</v>
      </c>
      <c r="D223" s="3050">
        <v>-1916</v>
      </c>
      <c r="E223" s="3051">
        <f t="shared" si="4"/>
        <v>5534784</v>
      </c>
      <c r="F223" s="705"/>
      <c r="G223" s="705"/>
      <c r="H223" s="705"/>
      <c r="I223" s="705"/>
      <c r="J223" s="705"/>
    </row>
    <row r="224" spans="1:10" s="2228" customFormat="1" ht="84">
      <c r="A224" s="3375" t="s">
        <v>2452</v>
      </c>
      <c r="B224" s="3048"/>
      <c r="C224" s="3049"/>
      <c r="D224" s="3050"/>
      <c r="E224" s="3051">
        <f t="shared" si="4"/>
        <v>0</v>
      </c>
      <c r="F224" s="705"/>
      <c r="G224" s="705"/>
      <c r="H224" s="705"/>
      <c r="I224" s="705"/>
      <c r="J224" s="705"/>
    </row>
    <row r="225" spans="1:10" s="2228" customFormat="1" ht="25.5">
      <c r="A225" s="3382" t="s">
        <v>2295</v>
      </c>
      <c r="B225" s="3092"/>
      <c r="C225" s="3084">
        <f>C226+C230+C233+C227+C235</f>
        <v>0</v>
      </c>
      <c r="D225" s="3084">
        <f>D226+D230+D233+D227+D235</f>
        <v>0</v>
      </c>
      <c r="E225" s="3061">
        <f t="shared" si="4"/>
        <v>0</v>
      </c>
      <c r="F225" s="705"/>
      <c r="G225" s="705"/>
      <c r="H225" s="705"/>
      <c r="I225" s="705"/>
      <c r="J225" s="705"/>
    </row>
    <row r="226" spans="1:10" s="2228" customFormat="1" ht="36">
      <c r="A226" s="3375" t="s">
        <v>1561</v>
      </c>
      <c r="B226" s="3048"/>
      <c r="C226" s="3049"/>
      <c r="D226" s="3050"/>
      <c r="E226" s="3051">
        <f t="shared" si="4"/>
        <v>0</v>
      </c>
      <c r="F226" s="705"/>
      <c r="G226" s="705"/>
      <c r="H226" s="705"/>
      <c r="I226" s="705"/>
      <c r="J226" s="705"/>
    </row>
    <row r="227" spans="1:10" s="2228" customFormat="1" ht="18" customHeight="1">
      <c r="A227" s="3376" t="s">
        <v>2419</v>
      </c>
      <c r="B227" s="3101"/>
      <c r="C227" s="3896">
        <f>C228+C229</f>
        <v>0</v>
      </c>
      <c r="D227" s="3896">
        <f>D228+D229</f>
        <v>0</v>
      </c>
      <c r="E227" s="3104">
        <f t="shared" si="4"/>
        <v>0</v>
      </c>
      <c r="F227" s="705"/>
      <c r="G227" s="705"/>
      <c r="H227" s="705"/>
      <c r="I227" s="705"/>
      <c r="J227" s="705"/>
    </row>
    <row r="228" spans="1:10" s="2228" customFormat="1" ht="17.45" customHeight="1">
      <c r="A228" s="3895" t="s">
        <v>2454</v>
      </c>
      <c r="B228" s="2711"/>
      <c r="C228" s="2714"/>
      <c r="D228" s="2715"/>
      <c r="E228" s="2712">
        <f t="shared" si="4"/>
        <v>0</v>
      </c>
      <c r="F228" s="705"/>
      <c r="G228" s="705"/>
      <c r="H228" s="705"/>
      <c r="I228" s="705"/>
      <c r="J228" s="705"/>
    </row>
    <row r="229" spans="1:10" s="2228" customFormat="1" ht="84">
      <c r="A229" s="3173" t="s">
        <v>2452</v>
      </c>
      <c r="B229" s="3048"/>
      <c r="C229" s="3049"/>
      <c r="D229" s="3050"/>
      <c r="E229" s="3051">
        <f t="shared" si="4"/>
        <v>0</v>
      </c>
      <c r="F229" s="705"/>
      <c r="G229" s="705"/>
      <c r="H229" s="705"/>
      <c r="I229" s="705"/>
      <c r="J229" s="705"/>
    </row>
    <row r="230" spans="1:10" s="2228" customFormat="1" ht="36">
      <c r="A230" s="3375" t="s">
        <v>1562</v>
      </c>
      <c r="B230" s="3048"/>
      <c r="C230" s="3095">
        <f>C231+C232</f>
        <v>0</v>
      </c>
      <c r="D230" s="3095">
        <f>D231+D232</f>
        <v>0</v>
      </c>
      <c r="E230" s="3051">
        <f t="shared" si="4"/>
        <v>0</v>
      </c>
      <c r="F230" s="705"/>
      <c r="G230" s="705"/>
      <c r="H230" s="705"/>
      <c r="I230" s="705"/>
      <c r="J230" s="705"/>
    </row>
    <row r="231" spans="1:10" s="2228" customFormat="1" ht="18" customHeight="1">
      <c r="A231" s="3173" t="s">
        <v>2454</v>
      </c>
      <c r="B231" s="3048"/>
      <c r="C231" s="3049"/>
      <c r="D231" s="3050"/>
      <c r="E231" s="3051">
        <f t="shared" si="4"/>
        <v>0</v>
      </c>
      <c r="F231" s="705"/>
      <c r="G231" s="705"/>
      <c r="H231" s="705"/>
      <c r="I231" s="705"/>
      <c r="J231" s="705"/>
    </row>
    <row r="232" spans="1:10" s="2228" customFormat="1" ht="84">
      <c r="A232" s="3173" t="s">
        <v>2452</v>
      </c>
      <c r="B232" s="3048"/>
      <c r="C232" s="3049"/>
      <c r="D232" s="3050"/>
      <c r="E232" s="3051">
        <f t="shared" si="4"/>
        <v>0</v>
      </c>
      <c r="F232" s="705"/>
      <c r="G232" s="705"/>
      <c r="H232" s="705"/>
      <c r="I232" s="705"/>
      <c r="J232" s="705"/>
    </row>
    <row r="233" spans="1:10" s="2228" customFormat="1" ht="36">
      <c r="A233" s="3375" t="s">
        <v>1565</v>
      </c>
      <c r="B233" s="3048"/>
      <c r="C233" s="3049"/>
      <c r="D233" s="3050"/>
      <c r="E233" s="3051">
        <f t="shared" si="4"/>
        <v>0</v>
      </c>
      <c r="F233" s="705"/>
      <c r="G233" s="705"/>
      <c r="H233" s="705"/>
      <c r="I233" s="705"/>
      <c r="J233" s="705"/>
    </row>
    <row r="234" spans="1:10" s="2228" customFormat="1" ht="51">
      <c r="A234" s="3159" t="s">
        <v>2294</v>
      </c>
      <c r="B234" s="3048"/>
      <c r="C234" s="3049"/>
      <c r="D234" s="3050"/>
      <c r="E234" s="3051">
        <f t="shared" si="4"/>
        <v>0</v>
      </c>
      <c r="F234" s="705"/>
      <c r="G234" s="705"/>
      <c r="H234" s="705"/>
      <c r="I234" s="705"/>
      <c r="J234" s="705"/>
    </row>
    <row r="235" spans="1:10" s="2228" customFormat="1" ht="24">
      <c r="A235" s="3173" t="s">
        <v>2571</v>
      </c>
      <c r="B235" s="3048"/>
      <c r="C235" s="3049"/>
      <c r="D235" s="3050"/>
      <c r="E235" s="3051">
        <f t="shared" si="4"/>
        <v>0</v>
      </c>
      <c r="F235" s="705"/>
      <c r="G235" s="705"/>
      <c r="H235" s="705"/>
      <c r="I235" s="705"/>
      <c r="J235" s="705"/>
    </row>
    <row r="236" spans="1:10" s="2228" customFormat="1" ht="36">
      <c r="A236" s="3358" t="s">
        <v>1563</v>
      </c>
      <c r="B236" s="3056" t="s">
        <v>849</v>
      </c>
      <c r="C236" s="3075">
        <f>C237+C238+C239+C240</f>
        <v>550106</v>
      </c>
      <c r="D236" s="3075">
        <f>D237+D238+D239+D240</f>
        <v>-456</v>
      </c>
      <c r="E236" s="3074">
        <f t="shared" si="4"/>
        <v>549650</v>
      </c>
      <c r="F236" s="705"/>
      <c r="G236" s="705"/>
      <c r="H236" s="705"/>
      <c r="I236" s="705"/>
      <c r="J236" s="705"/>
    </row>
    <row r="237" spans="1:10" s="2228" customFormat="1" ht="18" customHeight="1">
      <c r="A237" s="3375" t="s">
        <v>1539</v>
      </c>
      <c r="B237" s="3048"/>
      <c r="C237" s="3049">
        <v>550106</v>
      </c>
      <c r="D237" s="3050">
        <v>-456</v>
      </c>
      <c r="E237" s="3051">
        <f t="shared" si="4"/>
        <v>549650</v>
      </c>
      <c r="F237" s="705"/>
      <c r="G237" s="705"/>
      <c r="H237" s="705"/>
      <c r="I237" s="705"/>
      <c r="J237" s="705"/>
    </row>
    <row r="238" spans="1:10" s="2228" customFormat="1" ht="18" customHeight="1">
      <c r="A238" s="3375" t="s">
        <v>1540</v>
      </c>
      <c r="B238" s="3048"/>
      <c r="C238" s="3049"/>
      <c r="D238" s="3050"/>
      <c r="E238" s="3051">
        <f t="shared" si="4"/>
        <v>0</v>
      </c>
      <c r="F238" s="705"/>
      <c r="G238" s="705"/>
      <c r="H238" s="705"/>
      <c r="I238" s="705"/>
      <c r="J238" s="705"/>
    </row>
    <row r="239" spans="1:10" s="2228" customFormat="1" ht="51" hidden="1">
      <c r="A239" s="3383" t="s">
        <v>2294</v>
      </c>
      <c r="B239" s="3048"/>
      <c r="C239" s="3049"/>
      <c r="D239" s="3050"/>
      <c r="E239" s="3051">
        <f t="shared" si="4"/>
        <v>0</v>
      </c>
      <c r="F239" s="705"/>
      <c r="G239" s="705"/>
      <c r="H239" s="705"/>
      <c r="I239" s="705"/>
      <c r="J239" s="705"/>
    </row>
    <row r="240" spans="1:10" s="2228" customFormat="1" ht="84">
      <c r="A240" s="3173" t="s">
        <v>2452</v>
      </c>
      <c r="B240" s="3048"/>
      <c r="C240" s="3049"/>
      <c r="D240" s="3050"/>
      <c r="E240" s="3051">
        <f t="shared" si="4"/>
        <v>0</v>
      </c>
      <c r="F240" s="705"/>
      <c r="G240" s="705"/>
      <c r="H240" s="705"/>
      <c r="I240" s="705"/>
      <c r="J240" s="705"/>
    </row>
    <row r="241" spans="1:10" s="2228" customFormat="1" ht="24">
      <c r="A241" s="3372" t="s">
        <v>850</v>
      </c>
      <c r="B241" s="3092" t="s">
        <v>851</v>
      </c>
      <c r="C241" s="3075">
        <f>C242+C243</f>
        <v>187310</v>
      </c>
      <c r="D241" s="3075">
        <f>D242+D243</f>
        <v>0</v>
      </c>
      <c r="E241" s="3074">
        <f t="shared" si="4"/>
        <v>187310</v>
      </c>
      <c r="F241" s="705"/>
      <c r="G241" s="705"/>
      <c r="H241" s="705"/>
      <c r="I241" s="705"/>
      <c r="J241" s="705"/>
    </row>
    <row r="242" spans="1:10" s="2228" customFormat="1" ht="18" customHeight="1">
      <c r="A242" s="3173" t="s">
        <v>2454</v>
      </c>
      <c r="B242" s="3092"/>
      <c r="C242" s="3057">
        <v>187310</v>
      </c>
      <c r="D242" s="3086"/>
      <c r="E242" s="3066">
        <f t="shared" si="4"/>
        <v>187310</v>
      </c>
      <c r="F242" s="705"/>
      <c r="G242" s="705"/>
      <c r="H242" s="705"/>
      <c r="I242" s="705"/>
      <c r="J242" s="705"/>
    </row>
    <row r="243" spans="1:10" s="2228" customFormat="1" ht="84">
      <c r="A243" s="3173" t="s">
        <v>2452</v>
      </c>
      <c r="B243" s="3092"/>
      <c r="C243" s="3057"/>
      <c r="D243" s="3086"/>
      <c r="E243" s="3066">
        <f t="shared" si="4"/>
        <v>0</v>
      </c>
      <c r="F243" s="705"/>
      <c r="G243" s="705"/>
      <c r="H243" s="705"/>
      <c r="I243" s="705"/>
      <c r="J243" s="705"/>
    </row>
    <row r="244" spans="1:10" s="2228" customFormat="1" ht="18" customHeight="1">
      <c r="A244" s="3372" t="s">
        <v>852</v>
      </c>
      <c r="B244" s="3092" t="s">
        <v>853</v>
      </c>
      <c r="C244" s="3073">
        <f>C245+C262</f>
        <v>47535209</v>
      </c>
      <c r="D244" s="3073">
        <f>D245+D262</f>
        <v>-74072</v>
      </c>
      <c r="E244" s="3074">
        <f t="shared" si="4"/>
        <v>47461137</v>
      </c>
      <c r="F244" s="705"/>
      <c r="G244" s="705"/>
      <c r="H244" s="705"/>
      <c r="I244" s="705"/>
      <c r="J244" s="705"/>
    </row>
    <row r="245" spans="1:10" s="2228" customFormat="1" ht="18" customHeight="1">
      <c r="A245" s="3358" t="s">
        <v>854</v>
      </c>
      <c r="B245" s="3056" t="s">
        <v>855</v>
      </c>
      <c r="C245" s="3075">
        <f>C246+C247+C248+C249+C250+C252+C255+C258</f>
        <v>47535209</v>
      </c>
      <c r="D245" s="3075">
        <f>D246+D247+D248+D249+D250+D252+D255+D258</f>
        <v>-74072</v>
      </c>
      <c r="E245" s="3074">
        <f t="shared" si="4"/>
        <v>47461137</v>
      </c>
      <c r="F245" s="705"/>
      <c r="G245" s="705"/>
      <c r="H245" s="705"/>
      <c r="I245" s="705"/>
      <c r="J245" s="705"/>
    </row>
    <row r="246" spans="1:10" s="2228" customFormat="1" ht="18" customHeight="1">
      <c r="A246" s="3375" t="s">
        <v>1539</v>
      </c>
      <c r="B246" s="3048"/>
      <c r="C246" s="3049">
        <v>45671446</v>
      </c>
      <c r="D246" s="3050">
        <v>-51663</v>
      </c>
      <c r="E246" s="3051">
        <f t="shared" si="4"/>
        <v>45619783</v>
      </c>
      <c r="F246" s="705"/>
      <c r="G246" s="705"/>
      <c r="H246" s="705"/>
      <c r="I246" s="705"/>
      <c r="J246" s="705"/>
    </row>
    <row r="247" spans="1:10" s="2228" customFormat="1" ht="48">
      <c r="A247" s="3375" t="s">
        <v>2294</v>
      </c>
      <c r="B247" s="3048"/>
      <c r="C247" s="3049"/>
      <c r="D247" s="3050"/>
      <c r="E247" s="3051">
        <f t="shared" ref="E247:E274" si="6">C247+D247</f>
        <v>0</v>
      </c>
      <c r="F247" s="705"/>
      <c r="G247" s="705"/>
      <c r="H247" s="705"/>
      <c r="I247" s="705"/>
      <c r="J247" s="705"/>
    </row>
    <row r="248" spans="1:10" s="2228" customFormat="1" ht="84">
      <c r="A248" s="3173" t="s">
        <v>2452</v>
      </c>
      <c r="B248" s="3048"/>
      <c r="C248" s="3049"/>
      <c r="D248" s="3050"/>
      <c r="E248" s="3051">
        <f t="shared" si="6"/>
        <v>0</v>
      </c>
      <c r="F248" s="705"/>
      <c r="G248" s="705"/>
      <c r="H248" s="705"/>
      <c r="I248" s="705"/>
      <c r="J248" s="705"/>
    </row>
    <row r="249" spans="1:10" s="2228" customFormat="1" ht="48">
      <c r="A249" s="3173" t="s">
        <v>2455</v>
      </c>
      <c r="B249" s="3048"/>
      <c r="C249" s="3049"/>
      <c r="D249" s="3050"/>
      <c r="E249" s="3051">
        <f t="shared" si="6"/>
        <v>0</v>
      </c>
      <c r="F249" s="705"/>
      <c r="G249" s="705"/>
      <c r="H249" s="705"/>
      <c r="I249" s="705"/>
      <c r="J249" s="705"/>
    </row>
    <row r="250" spans="1:10" s="2228" customFormat="1" ht="24">
      <c r="A250" s="3173" t="s">
        <v>2481</v>
      </c>
      <c r="B250" s="3048"/>
      <c r="C250" s="3049">
        <v>1863763</v>
      </c>
      <c r="D250" s="3969">
        <v>-22409</v>
      </c>
      <c r="E250" s="3051">
        <f t="shared" si="6"/>
        <v>1841354</v>
      </c>
      <c r="F250" s="705"/>
      <c r="G250" s="705"/>
      <c r="H250" s="705"/>
      <c r="I250" s="705"/>
      <c r="J250" s="705"/>
    </row>
    <row r="251" spans="1:10" s="2232" customFormat="1" ht="24">
      <c r="A251" s="3384" t="s">
        <v>2296</v>
      </c>
      <c r="B251" s="3092"/>
      <c r="C251" s="3084">
        <f>C252+C255+C258+C261</f>
        <v>0</v>
      </c>
      <c r="D251" s="3084">
        <f t="shared" ref="D251:E251" si="7">D252+D255+D258+D261</f>
        <v>0</v>
      </c>
      <c r="E251" s="3061">
        <f t="shared" si="7"/>
        <v>0</v>
      </c>
      <c r="F251" s="1883"/>
      <c r="G251" s="1883"/>
      <c r="H251" s="1883"/>
      <c r="I251" s="1883"/>
      <c r="J251" s="1883"/>
    </row>
    <row r="252" spans="1:10" s="2228" customFormat="1" ht="72">
      <c r="A252" s="3375" t="s">
        <v>1564</v>
      </c>
      <c r="B252" s="3048"/>
      <c r="C252" s="3095">
        <f>C253+C254</f>
        <v>0</v>
      </c>
      <c r="D252" s="3095">
        <f>D253+D254</f>
        <v>0</v>
      </c>
      <c r="E252" s="3051">
        <f t="shared" si="6"/>
        <v>0</v>
      </c>
      <c r="F252" s="705"/>
      <c r="G252" s="705"/>
      <c r="H252" s="705"/>
      <c r="I252" s="705"/>
      <c r="J252" s="705"/>
    </row>
    <row r="253" spans="1:10" s="2228" customFormat="1" ht="18" customHeight="1">
      <c r="A253" s="3173" t="s">
        <v>2454</v>
      </c>
      <c r="B253" s="3048"/>
      <c r="C253" s="3049"/>
      <c r="D253" s="3050"/>
      <c r="E253" s="3051">
        <f t="shared" si="6"/>
        <v>0</v>
      </c>
      <c r="F253" s="705"/>
      <c r="G253" s="705"/>
      <c r="H253" s="705"/>
      <c r="I253" s="705"/>
      <c r="J253" s="705"/>
    </row>
    <row r="254" spans="1:10" s="2228" customFormat="1" ht="84">
      <c r="A254" s="3376" t="s">
        <v>2452</v>
      </c>
      <c r="B254" s="3101"/>
      <c r="C254" s="3102"/>
      <c r="D254" s="3103"/>
      <c r="E254" s="3104">
        <f t="shared" si="6"/>
        <v>0</v>
      </c>
      <c r="F254" s="705"/>
      <c r="G254" s="705"/>
      <c r="H254" s="705"/>
      <c r="I254" s="705"/>
      <c r="J254" s="705"/>
    </row>
    <row r="255" spans="1:10" s="2228" customFormat="1" ht="36">
      <c r="A255" s="3385" t="s">
        <v>1797</v>
      </c>
      <c r="B255" s="3109"/>
      <c r="C255" s="3110">
        <f>C256+C257</f>
        <v>0</v>
      </c>
      <c r="D255" s="3110">
        <f>D256+D257</f>
        <v>0</v>
      </c>
      <c r="E255" s="2712">
        <f t="shared" si="6"/>
        <v>0</v>
      </c>
      <c r="F255" s="705"/>
      <c r="G255" s="705"/>
      <c r="H255" s="705"/>
      <c r="I255" s="705"/>
      <c r="J255" s="705"/>
    </row>
    <row r="256" spans="1:10" s="2228" customFormat="1" ht="25.9" customHeight="1">
      <c r="A256" s="3173" t="s">
        <v>2454</v>
      </c>
      <c r="B256" s="3063"/>
      <c r="C256" s="3057"/>
      <c r="D256" s="3057"/>
      <c r="E256" s="3051">
        <f t="shared" si="6"/>
        <v>0</v>
      </c>
      <c r="F256" s="705"/>
      <c r="G256" s="705"/>
      <c r="H256" s="705"/>
      <c r="I256" s="705"/>
      <c r="J256" s="705"/>
    </row>
    <row r="257" spans="1:10" s="2228" customFormat="1" ht="84">
      <c r="A257" s="3173" t="s">
        <v>2452</v>
      </c>
      <c r="B257" s="3063"/>
      <c r="C257" s="3057"/>
      <c r="D257" s="3057"/>
      <c r="E257" s="3051">
        <f t="shared" si="6"/>
        <v>0</v>
      </c>
      <c r="F257" s="705"/>
      <c r="G257" s="705"/>
      <c r="H257" s="705"/>
      <c r="I257" s="705"/>
      <c r="J257" s="705"/>
    </row>
    <row r="258" spans="1:10" s="2228" customFormat="1" ht="24">
      <c r="A258" s="3386" t="s">
        <v>1801</v>
      </c>
      <c r="B258" s="3063"/>
      <c r="C258" s="3097">
        <f>C259+C260</f>
        <v>0</v>
      </c>
      <c r="D258" s="3097">
        <f>D259+D260</f>
        <v>0</v>
      </c>
      <c r="E258" s="3051">
        <f t="shared" si="6"/>
        <v>0</v>
      </c>
      <c r="F258" s="705"/>
      <c r="G258" s="705"/>
      <c r="H258" s="705"/>
      <c r="I258" s="705"/>
      <c r="J258" s="705"/>
    </row>
    <row r="259" spans="1:10" s="2228" customFormat="1" ht="19.149999999999999" customHeight="1">
      <c r="A259" s="3173" t="s">
        <v>2454</v>
      </c>
      <c r="B259" s="3063"/>
      <c r="C259" s="3057"/>
      <c r="D259" s="3057"/>
      <c r="E259" s="3051">
        <f t="shared" si="6"/>
        <v>0</v>
      </c>
      <c r="F259" s="705"/>
      <c r="G259" s="705"/>
      <c r="H259" s="705"/>
      <c r="I259" s="705"/>
      <c r="J259" s="705"/>
    </row>
    <row r="260" spans="1:10" s="2228" customFormat="1" ht="84">
      <c r="A260" s="3173" t="s">
        <v>2452</v>
      </c>
      <c r="B260" s="3063"/>
      <c r="C260" s="3057"/>
      <c r="D260" s="3057"/>
      <c r="E260" s="3051">
        <f t="shared" si="6"/>
        <v>0</v>
      </c>
      <c r="F260" s="705"/>
      <c r="G260" s="705"/>
      <c r="H260" s="705"/>
      <c r="I260" s="705"/>
      <c r="J260" s="705"/>
    </row>
    <row r="261" spans="1:10" s="2228" customFormat="1" ht="17.45" customHeight="1">
      <c r="A261" s="3159" t="s">
        <v>2572</v>
      </c>
      <c r="B261" s="3063"/>
      <c r="C261" s="3057"/>
      <c r="D261" s="3057"/>
      <c r="E261" s="3051">
        <f t="shared" si="6"/>
        <v>0</v>
      </c>
      <c r="F261" s="705"/>
      <c r="G261" s="705"/>
      <c r="H261" s="705"/>
      <c r="I261" s="705"/>
      <c r="J261" s="705"/>
    </row>
    <row r="262" spans="1:10" s="2228" customFormat="1" ht="18" customHeight="1">
      <c r="A262" s="3358" t="s">
        <v>856</v>
      </c>
      <c r="B262" s="3056" t="s">
        <v>857</v>
      </c>
      <c r="C262" s="3075">
        <f>C263+C264+C265+C266</f>
        <v>0</v>
      </c>
      <c r="D262" s="3075">
        <f>D263+D264+D265+D266</f>
        <v>0</v>
      </c>
      <c r="E262" s="3074">
        <f t="shared" si="6"/>
        <v>0</v>
      </c>
      <c r="F262" s="705"/>
      <c r="G262" s="705"/>
      <c r="H262" s="705"/>
      <c r="I262" s="705"/>
      <c r="J262" s="705"/>
    </row>
    <row r="263" spans="1:10" s="2228" customFormat="1" ht="18" customHeight="1">
      <c r="A263" s="3375" t="s">
        <v>1539</v>
      </c>
      <c r="B263" s="3048"/>
      <c r="C263" s="3049"/>
      <c r="D263" s="3050"/>
      <c r="E263" s="3051">
        <f t="shared" si="6"/>
        <v>0</v>
      </c>
      <c r="F263" s="705"/>
      <c r="G263" s="705"/>
      <c r="H263" s="705"/>
      <c r="I263" s="705"/>
      <c r="J263" s="705"/>
    </row>
    <row r="264" spans="1:10" s="2228" customFormat="1" ht="18" customHeight="1">
      <c r="A264" s="3375" t="s">
        <v>1540</v>
      </c>
      <c r="B264" s="3048"/>
      <c r="C264" s="3049"/>
      <c r="D264" s="3050"/>
      <c r="E264" s="3051">
        <f t="shared" si="6"/>
        <v>0</v>
      </c>
      <c r="F264" s="705"/>
      <c r="G264" s="705"/>
      <c r="H264" s="705"/>
      <c r="I264" s="705"/>
      <c r="J264" s="705"/>
    </row>
    <row r="265" spans="1:10" s="2228" customFormat="1" ht="84">
      <c r="A265" s="3173" t="s">
        <v>2452</v>
      </c>
      <c r="B265" s="3048"/>
      <c r="C265" s="3049"/>
      <c r="D265" s="3050"/>
      <c r="E265" s="3051">
        <f t="shared" si="6"/>
        <v>0</v>
      </c>
      <c r="F265" s="705"/>
      <c r="G265" s="705"/>
      <c r="H265" s="705"/>
      <c r="I265" s="705"/>
      <c r="J265" s="705"/>
    </row>
    <row r="266" spans="1:10" s="2228" customFormat="1" ht="24">
      <c r="A266" s="3173" t="s">
        <v>2481</v>
      </c>
      <c r="B266" s="3048"/>
      <c r="C266" s="3049"/>
      <c r="D266" s="3050"/>
      <c r="E266" s="3051">
        <f t="shared" si="6"/>
        <v>0</v>
      </c>
      <c r="F266" s="705"/>
      <c r="G266" s="705"/>
      <c r="H266" s="705"/>
      <c r="I266" s="705"/>
      <c r="J266" s="705"/>
    </row>
    <row r="267" spans="1:10" s="2228" customFormat="1" ht="18" customHeight="1">
      <c r="A267" s="3372" t="s">
        <v>858</v>
      </c>
      <c r="B267" s="3092" t="s">
        <v>859</v>
      </c>
      <c r="C267" s="3090">
        <v>50999</v>
      </c>
      <c r="D267" s="3091"/>
      <c r="E267" s="3074">
        <f t="shared" si="6"/>
        <v>50999</v>
      </c>
      <c r="F267" s="705"/>
      <c r="G267" s="705"/>
      <c r="H267" s="705"/>
      <c r="I267" s="705"/>
      <c r="J267" s="705"/>
    </row>
    <row r="268" spans="1:10" s="2228" customFormat="1" ht="24">
      <c r="A268" s="3372" t="s">
        <v>860</v>
      </c>
      <c r="B268" s="3092" t="s">
        <v>861</v>
      </c>
      <c r="C268" s="3090">
        <v>587084</v>
      </c>
      <c r="D268" s="3091">
        <v>-29312</v>
      </c>
      <c r="E268" s="3074">
        <f t="shared" si="6"/>
        <v>557772</v>
      </c>
      <c r="F268" s="705"/>
      <c r="G268" s="705"/>
      <c r="H268" s="705"/>
      <c r="I268" s="705"/>
      <c r="J268" s="705"/>
    </row>
    <row r="269" spans="1:10" s="2228" customFormat="1" ht="24">
      <c r="A269" s="3358" t="s">
        <v>1566</v>
      </c>
      <c r="B269" s="3056" t="s">
        <v>1567</v>
      </c>
      <c r="C269" s="3073">
        <f>C270</f>
        <v>9580511</v>
      </c>
      <c r="D269" s="3073">
        <f>D270</f>
        <v>-40534</v>
      </c>
      <c r="E269" s="3074">
        <f t="shared" si="6"/>
        <v>9539977</v>
      </c>
      <c r="F269" s="705"/>
      <c r="G269" s="705"/>
      <c r="H269" s="705"/>
      <c r="I269" s="705"/>
      <c r="J269" s="705"/>
    </row>
    <row r="270" spans="1:10" s="2228" customFormat="1" ht="18" customHeight="1">
      <c r="A270" s="3358" t="s">
        <v>878</v>
      </c>
      <c r="B270" s="3056" t="s">
        <v>879</v>
      </c>
      <c r="C270" s="3073">
        <f>C275+C277</f>
        <v>9580511</v>
      </c>
      <c r="D270" s="3073">
        <f>D275+D277</f>
        <v>-40534</v>
      </c>
      <c r="E270" s="3074">
        <f t="shared" si="6"/>
        <v>9539977</v>
      </c>
      <c r="F270" s="705"/>
      <c r="G270" s="705"/>
      <c r="H270" s="705"/>
      <c r="I270" s="705"/>
      <c r="J270" s="705"/>
    </row>
    <row r="271" spans="1:10" s="2228" customFormat="1" ht="18" customHeight="1">
      <c r="A271" s="3358" t="s">
        <v>1578</v>
      </c>
      <c r="B271" s="3056" t="s">
        <v>1861</v>
      </c>
      <c r="C271" s="3073">
        <f>+C277+C276</f>
        <v>9580511</v>
      </c>
      <c r="D271" s="3073">
        <f>+D277+D276</f>
        <v>-40534</v>
      </c>
      <c r="E271" s="3074">
        <f t="shared" si="6"/>
        <v>9539977</v>
      </c>
      <c r="F271" s="705"/>
      <c r="G271" s="705"/>
      <c r="H271" s="705"/>
      <c r="I271" s="705"/>
      <c r="J271" s="705"/>
    </row>
    <row r="272" spans="1:10" s="2228" customFormat="1" ht="18" customHeight="1">
      <c r="A272" s="3358" t="s">
        <v>1862</v>
      </c>
      <c r="B272" s="3056" t="s">
        <v>985</v>
      </c>
      <c r="C272" s="3073">
        <f>C273</f>
        <v>9580511</v>
      </c>
      <c r="D272" s="3073">
        <f>D273</f>
        <v>-40534</v>
      </c>
      <c r="E272" s="3074">
        <f t="shared" si="6"/>
        <v>9539977</v>
      </c>
      <c r="F272" s="705"/>
      <c r="G272" s="705"/>
      <c r="H272" s="705"/>
      <c r="I272" s="705"/>
      <c r="J272" s="705"/>
    </row>
    <row r="273" spans="1:10" s="2228" customFormat="1" ht="18" customHeight="1">
      <c r="A273" s="3358" t="s">
        <v>1568</v>
      </c>
      <c r="B273" s="3056" t="s">
        <v>987</v>
      </c>
      <c r="C273" s="3073">
        <f>C274</f>
        <v>9580511</v>
      </c>
      <c r="D273" s="3073">
        <f>D274</f>
        <v>-40534</v>
      </c>
      <c r="E273" s="3074">
        <f t="shared" si="6"/>
        <v>9539977</v>
      </c>
      <c r="F273" s="705"/>
      <c r="G273" s="705"/>
      <c r="H273" s="705"/>
      <c r="I273" s="705"/>
      <c r="J273" s="705"/>
    </row>
    <row r="274" spans="1:10" s="2228" customFormat="1" ht="18" customHeight="1">
      <c r="A274" s="3358" t="s">
        <v>1569</v>
      </c>
      <c r="B274" s="3056" t="s">
        <v>989</v>
      </c>
      <c r="C274" s="3073">
        <f>ROUND(C275+C277,1)</f>
        <v>9580511</v>
      </c>
      <c r="D274" s="3073">
        <f>ROUND(D275+D277,1)</f>
        <v>-40534</v>
      </c>
      <c r="E274" s="3074">
        <f t="shared" si="6"/>
        <v>9539977</v>
      </c>
      <c r="F274" s="705"/>
      <c r="G274" s="705"/>
      <c r="H274" s="705"/>
      <c r="I274" s="705"/>
      <c r="J274" s="705"/>
    </row>
    <row r="275" spans="1:10" s="2228" customFormat="1" ht="18" customHeight="1">
      <c r="A275" s="3358" t="s">
        <v>880</v>
      </c>
      <c r="B275" s="3056" t="s">
        <v>881</v>
      </c>
      <c r="C275" s="3073">
        <f>C276</f>
        <v>6582972</v>
      </c>
      <c r="D275" s="3073">
        <f>D276</f>
        <v>0</v>
      </c>
      <c r="E275" s="3074">
        <f>C275+D275</f>
        <v>6582972</v>
      </c>
      <c r="F275" s="705"/>
      <c r="G275" s="705"/>
      <c r="H275" s="705"/>
      <c r="I275" s="705"/>
      <c r="J275" s="705"/>
    </row>
    <row r="276" spans="1:10" s="2228" customFormat="1" ht="18" customHeight="1">
      <c r="A276" s="3357" t="s">
        <v>882</v>
      </c>
      <c r="B276" s="3048" t="s">
        <v>883</v>
      </c>
      <c r="C276" s="3050">
        <v>6582972</v>
      </c>
      <c r="D276" s="3050"/>
      <c r="E276" s="3051">
        <f>C276+D276</f>
        <v>6582972</v>
      </c>
      <c r="F276" s="705"/>
      <c r="G276" s="705"/>
      <c r="H276" s="705"/>
      <c r="I276" s="705"/>
      <c r="J276" s="705"/>
    </row>
    <row r="277" spans="1:10" s="2228" customFormat="1" ht="18" customHeight="1">
      <c r="A277" s="3387" t="s">
        <v>884</v>
      </c>
      <c r="B277" s="3098" t="s">
        <v>885</v>
      </c>
      <c r="C277" s="3099">
        <v>2997539</v>
      </c>
      <c r="D277" s="3099">
        <v>-40534</v>
      </c>
      <c r="E277" s="3100">
        <f>C277+D277</f>
        <v>2957005</v>
      </c>
      <c r="F277" s="705"/>
      <c r="G277" s="705"/>
      <c r="H277" s="705"/>
      <c r="I277" s="705"/>
      <c r="J277" s="705"/>
    </row>
    <row r="278" spans="1:10" s="1774" customFormat="1" ht="12.75" customHeight="1">
      <c r="A278" s="1165"/>
      <c r="B278" s="1165"/>
      <c r="C278" s="707"/>
      <c r="D278" s="2233"/>
      <c r="E278" s="2233"/>
      <c r="F278" s="700"/>
      <c r="G278" s="700"/>
      <c r="H278" s="700"/>
      <c r="I278" s="700"/>
    </row>
    <row r="279" spans="1:10" s="1774" customFormat="1" ht="12.75" customHeight="1">
      <c r="A279" s="3388"/>
      <c r="B279" s="1166"/>
      <c r="C279" s="708"/>
      <c r="D279" s="1164"/>
      <c r="E279" s="708"/>
      <c r="F279" s="709"/>
      <c r="G279" s="709"/>
      <c r="H279" s="709"/>
      <c r="I279" s="709"/>
      <c r="J279" s="710"/>
    </row>
    <row r="280" spans="1:10" s="1774" customFormat="1" ht="15.75">
      <c r="A280" s="4497" t="str">
        <f>'ANEXA 1'!B94</f>
        <v>DIRECTOR  GENERAL,</v>
      </c>
      <c r="B280" s="4497"/>
      <c r="C280" s="4497" t="str">
        <f>'ANEXA 1'!D94</f>
        <v>DIRECTOR  EXECUTIV  ECONOMIC,</v>
      </c>
      <c r="D280" s="4497"/>
      <c r="E280" s="4497"/>
      <c r="F280" s="711"/>
      <c r="G280" s="711"/>
      <c r="H280" s="711"/>
      <c r="I280" s="2234"/>
      <c r="J280" s="1164"/>
    </row>
    <row r="281" spans="1:10" ht="15">
      <c r="C281" s="2235"/>
      <c r="D281" s="2235"/>
      <c r="E281" s="2235"/>
    </row>
    <row r="282" spans="1:10" ht="15.75">
      <c r="A282" s="4496" t="str">
        <f>'ANEXA 1'!B96</f>
        <v>EC.ALBU DRINA</v>
      </c>
      <c r="B282" s="4496"/>
      <c r="C282" s="4496" t="str">
        <f>'ANEXA 1'!D96</f>
        <v>EC.BIRCU FLORINA</v>
      </c>
      <c r="D282" s="4496"/>
      <c r="E282" s="4496"/>
    </row>
    <row r="283" spans="1:10" ht="14.25">
      <c r="A283" s="4510">
        <f>'ANEXA 1'!B97</f>
        <v>0</v>
      </c>
      <c r="B283" s="4510"/>
    </row>
    <row r="286" spans="1:10">
      <c r="D286" s="1129"/>
    </row>
    <row r="287" spans="1:10" ht="15">
      <c r="A287" s="4507">
        <f>+'ANEXA 1'!B99</f>
        <v>0</v>
      </c>
      <c r="B287" s="4507"/>
      <c r="C287" s="4509">
        <f>'ANEXA 1'!D99</f>
        <v>0</v>
      </c>
      <c r="D287" s="4509"/>
      <c r="E287" s="4509"/>
    </row>
    <row r="288" spans="1:10" ht="15">
      <c r="A288" s="1641"/>
      <c r="B288" s="1641"/>
      <c r="C288" s="2237"/>
      <c r="D288" s="2418"/>
      <c r="E288" s="2237"/>
    </row>
    <row r="289" spans="1:5" s="2224" customFormat="1" ht="15">
      <c r="A289" s="4508">
        <f>+'ANEXA 1'!B101</f>
        <v>0</v>
      </c>
      <c r="B289" s="4508"/>
      <c r="C289" s="4509">
        <f>'ANEXA 1'!D101</f>
        <v>0</v>
      </c>
      <c r="D289" s="4509"/>
      <c r="E289" s="4509"/>
    </row>
  </sheetData>
  <sheetProtection password="CFDD" sheet="1" objects="1" scenarios="1"/>
  <mergeCells count="17">
    <mergeCell ref="A287:B287"/>
    <mergeCell ref="A289:B289"/>
    <mergeCell ref="C287:E287"/>
    <mergeCell ref="C289:E289"/>
    <mergeCell ref="A283:B283"/>
    <mergeCell ref="A282:B282"/>
    <mergeCell ref="C282:E282"/>
    <mergeCell ref="A280:B280"/>
    <mergeCell ref="C280:E280"/>
    <mergeCell ref="A1:E1"/>
    <mergeCell ref="A3:E3"/>
    <mergeCell ref="A4:E4"/>
    <mergeCell ref="A6:A7"/>
    <mergeCell ref="B6:B7"/>
    <mergeCell ref="C6:C7"/>
    <mergeCell ref="D6:D7"/>
    <mergeCell ref="E6:E7"/>
  </mergeCells>
  <phoneticPr fontId="0" type="noConversion"/>
  <dataValidations count="2">
    <dataValidation type="whole" allowBlank="1" showErrorMessage="1" sqref="D255:D261 D9:D10 D124:D125 D167 D80 D66:D68 D269:D270 D157:D158 D227 D218 E226:E277 E213:E224 D72 D251:D252 D131:E131 D132 C9:C167 D99:D101 D203:D204 D244:D245 D241 D12 D25 D34:D35 D43:D44 D50 D52 D60 D225:E225 D236 D230 D222 D212:E212 D108:D115 D200 D197 D193 D189 D183 D175 D172 D169 D154 D150 D147 D144 D141 D138 D135 D130 D121 D164 E9:E130 C169:C277 E132:E211 D178">
      <formula1>0</formula1>
      <formula2>9.99999999999999E+26</formula2>
    </dataValidation>
    <dataValidation type="whole" allowBlank="1" showErrorMessage="1" sqref="D219:D221 D242:D243 D126:D129 D61:D65 D71 D73:D79 D246:D250 D133:D134 D223:D224 D228:D229 D262:D268 D253:D254 D102:D107 D170:D171 D271:D277 D116:D120 D11 D13:D24 D26:D33 D36:D42 D45:D49 D51 D53:D59 D237:D240 D226 D213:D217 D205:D211 D201:D202 D198:D199 D194:D196 D190:D192 D184:D188 D231:D235 D173:D174 D168 D155:D156 D151:D153 D148:D149 D145:D146 D142:D143 D139:D140 D136:D137 D122:D123 D81:D98 D159:D163 D165:D166 D176:D177 D179:D182">
      <formula1>-9.99999999999999E+28</formula1>
      <formula2>0</formula2>
    </dataValidation>
  </dataValidations>
  <pageMargins left="0.94488188976377963" right="0.23622047244094491" top="0.19685039370078741" bottom="0.11811023622047245" header="0.51181102362204722" footer="0.11811023622047245"/>
  <pageSetup paperSize="9" scale="85" firstPageNumber="0" orientation="portrait" r:id="rId1"/>
  <headerFooter alignWithMargins="0">
    <oddFooter>&amp;C&amp;A&amp;RPagina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M296"/>
  <sheetViews>
    <sheetView showZeros="0" topLeftCell="A263" zoomScaleNormal="100" workbookViewId="0">
      <selection sqref="A1:XFD1048576"/>
    </sheetView>
  </sheetViews>
  <sheetFormatPr defaultRowHeight="12.75"/>
  <cols>
    <col min="1" max="1" width="37.28515625" customWidth="1"/>
    <col min="2" max="2" width="13.7109375" customWidth="1"/>
    <col min="3" max="3" width="17.140625" customWidth="1"/>
    <col min="4" max="4" width="13.85546875" customWidth="1"/>
    <col min="5" max="5" width="19.7109375" customWidth="1"/>
    <col min="8" max="8" width="10.140625" customWidth="1"/>
  </cols>
  <sheetData>
    <row r="1" spans="1:13" ht="15">
      <c r="A1" s="4498" t="str">
        <f>'ANEXA 1'!A1</f>
        <v>CASA  DE  ASIGURĂRI  DE  SĂNĂTATE MEHEDINTI</v>
      </c>
      <c r="B1" s="4498"/>
      <c r="C1" s="4498"/>
      <c r="D1" s="4498"/>
      <c r="E1" s="4498"/>
    </row>
    <row r="2" spans="1:13" ht="15">
      <c r="A2" s="3412"/>
      <c r="B2" s="3412"/>
      <c r="C2" s="3413"/>
      <c r="D2" s="3413"/>
      <c r="E2" s="3413"/>
    </row>
    <row r="3" spans="1:13">
      <c r="A3" s="4499" t="s">
        <v>2610</v>
      </c>
      <c r="B3" s="4499"/>
      <c r="C3" s="4499"/>
      <c r="D3" s="4499"/>
      <c r="E3" s="4499"/>
    </row>
    <row r="4" spans="1:13">
      <c r="A4" s="4500" t="str">
        <f>'ANEXA 1'!A12</f>
        <v>la  data  de  30  IUNIE  2023</v>
      </c>
      <c r="B4" s="4500"/>
      <c r="C4" s="4500"/>
      <c r="D4" s="4500"/>
      <c r="E4" s="4500"/>
    </row>
    <row r="5" spans="1:13">
      <c r="A5" s="3353" t="s">
        <v>806</v>
      </c>
      <c r="B5" s="3414"/>
      <c r="C5" s="1168"/>
      <c r="D5" s="1168"/>
      <c r="E5" s="2225" t="s">
        <v>271</v>
      </c>
    </row>
    <row r="6" spans="1:13">
      <c r="A6" s="4516" t="s">
        <v>807</v>
      </c>
      <c r="B6" s="4518" t="s">
        <v>808</v>
      </c>
      <c r="C6" s="4520" t="s">
        <v>2611</v>
      </c>
      <c r="D6" s="4522" t="s">
        <v>1508</v>
      </c>
      <c r="E6" s="4524" t="s">
        <v>2612</v>
      </c>
    </row>
    <row r="7" spans="1:13" ht="34.9" customHeight="1">
      <c r="A7" s="4517"/>
      <c r="B7" s="4519"/>
      <c r="C7" s="4521"/>
      <c r="D7" s="4523"/>
      <c r="E7" s="4525"/>
    </row>
    <row r="8" spans="1:13">
      <c r="A8" s="3415" t="s">
        <v>92</v>
      </c>
      <c r="B8" s="3416" t="s">
        <v>93</v>
      </c>
      <c r="C8" s="3417">
        <v>1</v>
      </c>
      <c r="D8" s="3418">
        <v>2</v>
      </c>
      <c r="E8" s="3419" t="s">
        <v>1476</v>
      </c>
    </row>
    <row r="9" spans="1:13" ht="18" customHeight="1">
      <c r="A9" s="1359" t="s">
        <v>816</v>
      </c>
      <c r="B9" s="1360">
        <v>5000</v>
      </c>
      <c r="C9" s="1361">
        <f>C11+C269</f>
        <v>350606979</v>
      </c>
      <c r="D9" s="1361">
        <f>PLATI!D9</f>
        <v>-181653</v>
      </c>
      <c r="E9" s="1362">
        <f>C9+D9</f>
        <v>350425326</v>
      </c>
      <c r="F9" s="3389"/>
      <c r="G9" s="3389"/>
      <c r="H9" s="3389"/>
      <c r="I9" s="3389"/>
      <c r="J9" s="3389"/>
      <c r="K9" s="3389"/>
      <c r="L9" s="3389"/>
      <c r="M9" s="3389"/>
    </row>
    <row r="10" spans="1:13" ht="18" customHeight="1">
      <c r="A10" s="3111" t="s">
        <v>872</v>
      </c>
      <c r="B10" s="3112" t="s">
        <v>1831</v>
      </c>
      <c r="C10" s="3113">
        <f>C99</f>
        <v>0</v>
      </c>
      <c r="D10" s="3113">
        <f>PLATI!D10</f>
        <v>0</v>
      </c>
      <c r="E10" s="3114">
        <f t="shared" ref="E10:E49" si="0">C10+D10</f>
        <v>0</v>
      </c>
      <c r="F10" s="3389"/>
      <c r="G10" s="3389"/>
      <c r="H10" s="3389"/>
      <c r="I10" s="3389"/>
      <c r="J10" s="3389"/>
      <c r="K10" s="3389"/>
      <c r="L10" s="3389"/>
      <c r="M10" s="3389"/>
    </row>
    <row r="11" spans="1:13" ht="18" customHeight="1">
      <c r="A11" s="3111" t="s">
        <v>820</v>
      </c>
      <c r="B11" s="3112" t="s">
        <v>821</v>
      </c>
      <c r="C11" s="3113">
        <f>C12+C34+C63+C66+C83+C96+C99</f>
        <v>341026468</v>
      </c>
      <c r="D11" s="3113">
        <f>PLATI!D11</f>
        <v>-141119</v>
      </c>
      <c r="E11" s="3114">
        <f t="shared" si="0"/>
        <v>340885349</v>
      </c>
      <c r="F11" s="3389"/>
      <c r="G11" s="3389"/>
      <c r="H11" s="3389"/>
      <c r="I11" s="3389"/>
      <c r="J11" s="3389"/>
      <c r="K11" s="3389"/>
      <c r="L11" s="3389"/>
      <c r="M11" s="3389"/>
    </row>
    <row r="12" spans="1:13" ht="18" customHeight="1">
      <c r="A12" s="3111" t="s">
        <v>1511</v>
      </c>
      <c r="B12" s="3112" t="s">
        <v>1512</v>
      </c>
      <c r="C12" s="3113">
        <f t="shared" ref="C12" si="1">ROUND(+C13+C25+C23,1)</f>
        <v>4930600</v>
      </c>
      <c r="D12" s="3113">
        <f>PLATI!D12</f>
        <v>-21349</v>
      </c>
      <c r="E12" s="3114">
        <f t="shared" si="0"/>
        <v>4909251</v>
      </c>
      <c r="F12" s="3389"/>
      <c r="G12" s="3389"/>
      <c r="H12" s="3389"/>
      <c r="I12" s="3389"/>
      <c r="J12" s="3389"/>
      <c r="K12" s="3389"/>
      <c r="L12" s="3389"/>
      <c r="M12" s="3389"/>
    </row>
    <row r="13" spans="1:13" ht="18" customHeight="1">
      <c r="A13" s="3111" t="s">
        <v>1513</v>
      </c>
      <c r="B13" s="3112" t="s">
        <v>1514</v>
      </c>
      <c r="C13" s="3113">
        <f t="shared" ref="C13" si="2">SUM(C14:C21)</f>
        <v>4757000</v>
      </c>
      <c r="D13" s="3113">
        <f>PLATI!D13</f>
        <v>-21349</v>
      </c>
      <c r="E13" s="3114">
        <f t="shared" si="0"/>
        <v>4735651</v>
      </c>
      <c r="F13" s="3389"/>
      <c r="G13" s="3389"/>
      <c r="H13" s="3389"/>
      <c r="I13" s="3389"/>
      <c r="J13" s="3389"/>
      <c r="K13" s="3389"/>
      <c r="L13" s="3389"/>
      <c r="M13" s="3389"/>
    </row>
    <row r="14" spans="1:13" ht="18" customHeight="1">
      <c r="A14" s="3116" t="s">
        <v>863</v>
      </c>
      <c r="B14" s="3044" t="s">
        <v>1515</v>
      </c>
      <c r="C14" s="3045">
        <v>3835000</v>
      </c>
      <c r="D14" s="3045">
        <f>PLATI!D14</f>
        <v>0</v>
      </c>
      <c r="E14" s="3047">
        <f t="shared" si="0"/>
        <v>3835000</v>
      </c>
    </row>
    <row r="15" spans="1:13" ht="18" customHeight="1">
      <c r="A15" s="3116" t="s">
        <v>1849</v>
      </c>
      <c r="B15" s="3044" t="s">
        <v>1848</v>
      </c>
      <c r="C15" s="3045">
        <v>484000</v>
      </c>
      <c r="D15" s="3045">
        <f>PLATI!D15</f>
        <v>0</v>
      </c>
      <c r="E15" s="3047">
        <f t="shared" si="0"/>
        <v>484000</v>
      </c>
    </row>
    <row r="16" spans="1:13" ht="18" customHeight="1">
      <c r="A16" s="3116" t="s">
        <v>2052</v>
      </c>
      <c r="B16" s="3044" t="s">
        <v>2054</v>
      </c>
      <c r="C16" s="3045">
        <v>149000</v>
      </c>
      <c r="D16" s="3045">
        <f>PLATI!D16</f>
        <v>0</v>
      </c>
      <c r="E16" s="3047">
        <f t="shared" si="0"/>
        <v>149000</v>
      </c>
    </row>
    <row r="17" spans="1:5" ht="25.5">
      <c r="A17" s="3116" t="s">
        <v>903</v>
      </c>
      <c r="B17" s="3044" t="s">
        <v>1516</v>
      </c>
      <c r="C17" s="3045">
        <v>13000</v>
      </c>
      <c r="D17" s="3045">
        <f>PLATI!D17</f>
        <v>0</v>
      </c>
      <c r="E17" s="3047">
        <f t="shared" si="0"/>
        <v>13000</v>
      </c>
    </row>
    <row r="18" spans="1:5" ht="18" customHeight="1">
      <c r="A18" s="3116" t="s">
        <v>2094</v>
      </c>
      <c r="B18" s="3044" t="s">
        <v>1517</v>
      </c>
      <c r="C18" s="3045">
        <v>1000</v>
      </c>
      <c r="D18" s="3045">
        <f>PLATI!D18</f>
        <v>0</v>
      </c>
      <c r="E18" s="3047">
        <f t="shared" si="0"/>
        <v>1000</v>
      </c>
    </row>
    <row r="19" spans="1:5" ht="18" customHeight="1">
      <c r="A19" s="3118" t="s">
        <v>905</v>
      </c>
      <c r="B19" s="3044" t="s">
        <v>1518</v>
      </c>
      <c r="C19" s="3045"/>
      <c r="D19" s="3045">
        <f>PLATI!D19</f>
        <v>0</v>
      </c>
      <c r="E19" s="3047">
        <f t="shared" si="0"/>
        <v>0</v>
      </c>
    </row>
    <row r="20" spans="1:5" ht="18" customHeight="1">
      <c r="A20" s="3118" t="s">
        <v>2091</v>
      </c>
      <c r="B20" s="3044" t="s">
        <v>2090</v>
      </c>
      <c r="C20" s="3045">
        <v>164000</v>
      </c>
      <c r="D20" s="3045">
        <f>PLATI!D20</f>
        <v>0</v>
      </c>
      <c r="E20" s="3047">
        <f t="shared" si="0"/>
        <v>164000</v>
      </c>
    </row>
    <row r="21" spans="1:5" ht="18" customHeight="1">
      <c r="A21" s="3116" t="s">
        <v>1591</v>
      </c>
      <c r="B21" s="3044" t="s">
        <v>1519</v>
      </c>
      <c r="C21" s="3045">
        <v>111000</v>
      </c>
      <c r="D21" s="3045">
        <f>PLATI!D21</f>
        <v>-21349</v>
      </c>
      <c r="E21" s="3047">
        <f t="shared" si="0"/>
        <v>89651</v>
      </c>
    </row>
    <row r="22" spans="1:5" ht="18" customHeight="1">
      <c r="A22" s="3119" t="s">
        <v>1592</v>
      </c>
      <c r="B22" s="3044"/>
      <c r="C22" s="3045">
        <v>11000</v>
      </c>
      <c r="D22" s="3045">
        <f>PLATI!D22</f>
        <v>0</v>
      </c>
      <c r="E22" s="3047">
        <f t="shared" si="0"/>
        <v>11000</v>
      </c>
    </row>
    <row r="23" spans="1:5" s="3389" customFormat="1" ht="18" customHeight="1">
      <c r="A23" s="3390" t="s">
        <v>1852</v>
      </c>
      <c r="B23" s="3391" t="s">
        <v>1850</v>
      </c>
      <c r="C23" s="3113">
        <f>+C24</f>
        <v>64000</v>
      </c>
      <c r="D23" s="3113">
        <f>PLATI!D23</f>
        <v>0</v>
      </c>
      <c r="E23" s="3114">
        <f t="shared" si="0"/>
        <v>64000</v>
      </c>
    </row>
    <row r="24" spans="1:5" ht="18" customHeight="1">
      <c r="A24" s="3122" t="s">
        <v>1853</v>
      </c>
      <c r="B24" s="3123" t="s">
        <v>1851</v>
      </c>
      <c r="C24" s="3045">
        <v>64000</v>
      </c>
      <c r="D24" s="3045">
        <f>PLATI!D24</f>
        <v>0</v>
      </c>
      <c r="E24" s="3047">
        <f t="shared" si="0"/>
        <v>64000</v>
      </c>
    </row>
    <row r="25" spans="1:5" s="3389" customFormat="1" ht="18" customHeight="1">
      <c r="A25" s="3124" t="s">
        <v>1520</v>
      </c>
      <c r="B25" s="3125" t="s">
        <v>1521</v>
      </c>
      <c r="C25" s="3113">
        <f t="shared" ref="C25" si="3">ROUND(+C26+C27+C28+C29+C30+C31+C33,1)</f>
        <v>109600</v>
      </c>
      <c r="D25" s="3113">
        <f>PLATI!D25</f>
        <v>0</v>
      </c>
      <c r="E25" s="3114">
        <f t="shared" si="0"/>
        <v>109600</v>
      </c>
    </row>
    <row r="26" spans="1:5" ht="18" customHeight="1">
      <c r="A26" s="3116" t="s">
        <v>911</v>
      </c>
      <c r="B26" s="3044" t="s">
        <v>1522</v>
      </c>
      <c r="C26" s="3045">
        <v>1550</v>
      </c>
      <c r="D26" s="3045">
        <f>PLATI!D26</f>
        <v>0</v>
      </c>
      <c r="E26" s="3047">
        <f t="shared" si="0"/>
        <v>1550</v>
      </c>
    </row>
    <row r="27" spans="1:5" ht="18" customHeight="1">
      <c r="A27" s="3116" t="s">
        <v>1523</v>
      </c>
      <c r="B27" s="3044" t="s">
        <v>1524</v>
      </c>
      <c r="C27" s="3045">
        <v>50</v>
      </c>
      <c r="D27" s="3045">
        <f>PLATI!D27</f>
        <v>0</v>
      </c>
      <c r="E27" s="3047">
        <f t="shared" si="0"/>
        <v>50</v>
      </c>
    </row>
    <row r="28" spans="1:5" ht="18" customHeight="1">
      <c r="A28" s="3116" t="s">
        <v>1525</v>
      </c>
      <c r="B28" s="3044" t="s">
        <v>1526</v>
      </c>
      <c r="C28" s="3045">
        <v>500</v>
      </c>
      <c r="D28" s="3045">
        <f>PLATI!D28</f>
        <v>0</v>
      </c>
      <c r="E28" s="3047">
        <f t="shared" si="0"/>
        <v>500</v>
      </c>
    </row>
    <row r="29" spans="1:5" ht="25.5">
      <c r="A29" s="3116" t="s">
        <v>1527</v>
      </c>
      <c r="B29" s="3044" t="s">
        <v>1528</v>
      </c>
      <c r="C29" s="3045">
        <v>50</v>
      </c>
      <c r="D29" s="3045">
        <f>PLATI!D29</f>
        <v>0</v>
      </c>
      <c r="E29" s="3047">
        <f t="shared" si="0"/>
        <v>50</v>
      </c>
    </row>
    <row r="30" spans="1:5" ht="18" customHeight="1">
      <c r="A30" s="3116" t="s">
        <v>919</v>
      </c>
      <c r="B30" s="3044" t="s">
        <v>1529</v>
      </c>
      <c r="C30" s="3045">
        <v>100</v>
      </c>
      <c r="D30" s="3045">
        <f>PLATI!D30</f>
        <v>0</v>
      </c>
      <c r="E30" s="3047">
        <f t="shared" si="0"/>
        <v>100</v>
      </c>
    </row>
    <row r="31" spans="1:5" ht="18" customHeight="1">
      <c r="A31" s="3116" t="s">
        <v>2327</v>
      </c>
      <c r="B31" s="3123" t="s">
        <v>1854</v>
      </c>
      <c r="C31" s="3045">
        <v>107350</v>
      </c>
      <c r="D31" s="3045">
        <f>PLATI!D31</f>
        <v>0</v>
      </c>
      <c r="E31" s="3047">
        <f t="shared" si="0"/>
        <v>107350</v>
      </c>
    </row>
    <row r="32" spans="1:5" ht="18" customHeight="1">
      <c r="A32" s="3119" t="s">
        <v>1592</v>
      </c>
      <c r="B32" s="3123"/>
      <c r="C32" s="3045"/>
      <c r="D32" s="3045">
        <f>PLATI!D32</f>
        <v>0</v>
      </c>
      <c r="E32" s="3047">
        <f t="shared" si="0"/>
        <v>0</v>
      </c>
    </row>
    <row r="33" spans="1:8" ht="25.5">
      <c r="A33" s="3116" t="s">
        <v>1857</v>
      </c>
      <c r="B33" s="3123" t="s">
        <v>1855</v>
      </c>
      <c r="C33" s="3058"/>
      <c r="D33" s="3058">
        <f>PLATI!D33</f>
        <v>0</v>
      </c>
      <c r="E33" s="3126">
        <f t="shared" si="0"/>
        <v>0</v>
      </c>
    </row>
    <row r="34" spans="1:8" s="3389" customFormat="1" ht="18" customHeight="1">
      <c r="A34" s="3124" t="s">
        <v>1032</v>
      </c>
      <c r="B34" s="3125" t="s">
        <v>1033</v>
      </c>
      <c r="C34" s="3113">
        <f t="shared" ref="C34" si="4">ROUND(+C35+C50+C49+C52+C55+C56+C57+C58+C59+C60,1)</f>
        <v>275792078</v>
      </c>
      <c r="D34" s="3113">
        <f>PLATI!D34</f>
        <v>-119770</v>
      </c>
      <c r="E34" s="3114">
        <f t="shared" si="0"/>
        <v>275672308</v>
      </c>
    </row>
    <row r="35" spans="1:8" s="3389" customFormat="1" ht="18" customHeight="1">
      <c r="A35" s="3124" t="s">
        <v>1034</v>
      </c>
      <c r="B35" s="3125" t="s">
        <v>1035</v>
      </c>
      <c r="C35" s="3113">
        <f t="shared" ref="C35" si="5">ROUND(+C36+C37+C38+C39+C40+C41+C42+C43+C46,1)</f>
        <v>275741317</v>
      </c>
      <c r="D35" s="3113">
        <f>PLATI!D35</f>
        <v>-119770</v>
      </c>
      <c r="E35" s="3114">
        <f t="shared" si="0"/>
        <v>275621547</v>
      </c>
    </row>
    <row r="36" spans="1:8" ht="18" customHeight="1">
      <c r="A36" s="3116" t="s">
        <v>923</v>
      </c>
      <c r="B36" s="3044" t="s">
        <v>1036</v>
      </c>
      <c r="C36" s="3045">
        <v>12869</v>
      </c>
      <c r="D36" s="3045">
        <f>PLATI!D36</f>
        <v>0</v>
      </c>
      <c r="E36" s="3047">
        <f t="shared" si="0"/>
        <v>12869</v>
      </c>
    </row>
    <row r="37" spans="1:8" ht="18" customHeight="1">
      <c r="A37" s="3116" t="s">
        <v>925</v>
      </c>
      <c r="B37" s="3044" t="s">
        <v>1037</v>
      </c>
      <c r="C37" s="3045">
        <v>3999</v>
      </c>
      <c r="D37" s="3045">
        <f>PLATI!D37</f>
        <v>0</v>
      </c>
      <c r="E37" s="3047">
        <f t="shared" si="0"/>
        <v>3999</v>
      </c>
    </row>
    <row r="38" spans="1:8" ht="18" customHeight="1">
      <c r="A38" s="3116" t="s">
        <v>1038</v>
      </c>
      <c r="B38" s="3044" t="s">
        <v>1039</v>
      </c>
      <c r="C38" s="3045">
        <v>179000</v>
      </c>
      <c r="D38" s="3045">
        <f>PLATI!D38</f>
        <v>0</v>
      </c>
      <c r="E38" s="3047">
        <f t="shared" si="0"/>
        <v>179000</v>
      </c>
    </row>
    <row r="39" spans="1:8" ht="18" customHeight="1">
      <c r="A39" s="3116" t="s">
        <v>929</v>
      </c>
      <c r="B39" s="3044" t="s">
        <v>1040</v>
      </c>
      <c r="C39" s="3045">
        <v>8000</v>
      </c>
      <c r="D39" s="3045">
        <f>PLATI!D39</f>
        <v>0</v>
      </c>
      <c r="E39" s="3047">
        <f t="shared" si="0"/>
        <v>8000</v>
      </c>
    </row>
    <row r="40" spans="1:8" ht="18" customHeight="1">
      <c r="A40" s="3116" t="s">
        <v>931</v>
      </c>
      <c r="B40" s="3044" t="s">
        <v>1041</v>
      </c>
      <c r="C40" s="3045"/>
      <c r="D40" s="3045">
        <f>PLATI!D40</f>
        <v>0</v>
      </c>
      <c r="E40" s="3047">
        <f t="shared" si="0"/>
        <v>0</v>
      </c>
    </row>
    <row r="41" spans="1:8" ht="18" customHeight="1">
      <c r="A41" s="3116" t="s">
        <v>933</v>
      </c>
      <c r="B41" s="3044" t="s">
        <v>1042</v>
      </c>
      <c r="C41" s="3045"/>
      <c r="D41" s="3045">
        <f>PLATI!D41</f>
        <v>0</v>
      </c>
      <c r="E41" s="3047">
        <f t="shared" si="0"/>
        <v>0</v>
      </c>
    </row>
    <row r="42" spans="1:8" ht="18" customHeight="1">
      <c r="A42" s="3116" t="s">
        <v>1043</v>
      </c>
      <c r="B42" s="3044" t="s">
        <v>1044</v>
      </c>
      <c r="C42" s="3045">
        <v>48000</v>
      </c>
      <c r="D42" s="3045">
        <f>PLATI!D42</f>
        <v>0</v>
      </c>
      <c r="E42" s="3047">
        <f t="shared" si="0"/>
        <v>48000</v>
      </c>
    </row>
    <row r="43" spans="1:8" s="3389" customFormat="1" ht="25.5">
      <c r="A43" s="3124" t="s">
        <v>937</v>
      </c>
      <c r="B43" s="3125" t="s">
        <v>1045</v>
      </c>
      <c r="C43" s="3113">
        <f t="shared" ref="C43" si="6">ROUND(+C44+C45,1)</f>
        <v>275284449</v>
      </c>
      <c r="D43" s="3113">
        <f>PLATI!D43</f>
        <v>-119770</v>
      </c>
      <c r="E43" s="3114">
        <f t="shared" si="0"/>
        <v>275164679</v>
      </c>
    </row>
    <row r="44" spans="1:8" ht="25.5">
      <c r="A44" s="3116" t="s">
        <v>1046</v>
      </c>
      <c r="B44" s="3044" t="s">
        <v>1047</v>
      </c>
      <c r="C44" s="3058">
        <f>ROUND(+C114+C203+C241+C244+C267+C268,1)</f>
        <v>275281824</v>
      </c>
      <c r="D44" s="3058">
        <f>PLATI!D44</f>
        <v>-119770</v>
      </c>
      <c r="E44" s="3126">
        <f t="shared" si="0"/>
        <v>275162054</v>
      </c>
    </row>
    <row r="45" spans="1:8" ht="25.5">
      <c r="A45" s="3116" t="s">
        <v>1048</v>
      </c>
      <c r="B45" s="3044" t="s">
        <v>1049</v>
      </c>
      <c r="C45" s="3045">
        <v>2625</v>
      </c>
      <c r="D45" s="3045">
        <f>PLATI!D45</f>
        <v>0</v>
      </c>
      <c r="E45" s="3047">
        <f t="shared" si="0"/>
        <v>2625</v>
      </c>
    </row>
    <row r="46" spans="1:8" ht="25.5">
      <c r="A46" s="3116" t="s">
        <v>1793</v>
      </c>
      <c r="B46" s="3044" t="s">
        <v>1050</v>
      </c>
      <c r="C46" s="3045">
        <v>205000</v>
      </c>
      <c r="D46" s="3045">
        <f>PLATI!D46</f>
        <v>0</v>
      </c>
      <c r="E46" s="3047">
        <f t="shared" si="0"/>
        <v>205000</v>
      </c>
    </row>
    <row r="47" spans="1:8" ht="25.5">
      <c r="A47" s="3825" t="s">
        <v>1593</v>
      </c>
      <c r="B47" s="3187"/>
      <c r="C47" s="3197"/>
      <c r="D47" s="3197">
        <f>PLATI!D47</f>
        <v>0</v>
      </c>
      <c r="E47" s="3200">
        <f t="shared" si="0"/>
        <v>0</v>
      </c>
    </row>
    <row r="48" spans="1:8" ht="25.5">
      <c r="A48" s="3828" t="s">
        <v>1794</v>
      </c>
      <c r="B48" s="3822"/>
      <c r="C48" s="3823">
        <v>48000</v>
      </c>
      <c r="D48" s="3823">
        <f>PLATI!D48</f>
        <v>0</v>
      </c>
      <c r="E48" s="3824">
        <f t="shared" si="0"/>
        <v>48000</v>
      </c>
      <c r="H48" s="2477" t="str">
        <f>IF(C48=0,"EROARE"," ")</f>
        <v xml:space="preserve"> </v>
      </c>
    </row>
    <row r="49" spans="1:5" s="3389" customFormat="1" ht="18" customHeight="1">
      <c r="A49" s="3124" t="s">
        <v>1051</v>
      </c>
      <c r="B49" s="3125" t="s">
        <v>1052</v>
      </c>
      <c r="C49" s="3131">
        <v>8881</v>
      </c>
      <c r="D49" s="3131">
        <f>PLATI!D49</f>
        <v>0</v>
      </c>
      <c r="E49" s="3184">
        <f t="shared" si="0"/>
        <v>8881</v>
      </c>
    </row>
    <row r="50" spans="1:5" s="3389" customFormat="1" ht="18" customHeight="1">
      <c r="A50" s="3124" t="s">
        <v>1053</v>
      </c>
      <c r="B50" s="3125" t="s">
        <v>1054</v>
      </c>
      <c r="C50" s="3113">
        <f t="shared" ref="C50" si="7">+C51</f>
        <v>9217</v>
      </c>
      <c r="D50" s="3113">
        <f>PLATI!D50</f>
        <v>0</v>
      </c>
      <c r="E50" s="3114">
        <f t="shared" ref="E50:E113" si="8">C50+D50</f>
        <v>9217</v>
      </c>
    </row>
    <row r="51" spans="1:5" ht="18" customHeight="1">
      <c r="A51" s="3116" t="s">
        <v>943</v>
      </c>
      <c r="B51" s="3044" t="s">
        <v>1055</v>
      </c>
      <c r="C51" s="3045">
        <v>9217</v>
      </c>
      <c r="D51" s="3045">
        <f>PLATI!D51</f>
        <v>0</v>
      </c>
      <c r="E51" s="3047">
        <f t="shared" si="8"/>
        <v>9217</v>
      </c>
    </row>
    <row r="52" spans="1:5" s="3389" customFormat="1" ht="18" customHeight="1">
      <c r="A52" s="3124" t="s">
        <v>1056</v>
      </c>
      <c r="B52" s="3125" t="s">
        <v>1057</v>
      </c>
      <c r="C52" s="3113">
        <f t="shared" ref="C52" si="9">ROUND(+C53+C54,1)</f>
        <v>0</v>
      </c>
      <c r="D52" s="3113">
        <f>PLATI!D52</f>
        <v>0</v>
      </c>
      <c r="E52" s="3114">
        <f t="shared" si="8"/>
        <v>0</v>
      </c>
    </row>
    <row r="53" spans="1:5" ht="18" customHeight="1">
      <c r="A53" s="3116" t="s">
        <v>1058</v>
      </c>
      <c r="B53" s="3044" t="s">
        <v>1059</v>
      </c>
      <c r="C53" s="3045"/>
      <c r="D53" s="3045">
        <f>PLATI!D53</f>
        <v>0</v>
      </c>
      <c r="E53" s="3047">
        <f t="shared" si="8"/>
        <v>0</v>
      </c>
    </row>
    <row r="54" spans="1:5" ht="18" customHeight="1">
      <c r="A54" s="3116" t="s">
        <v>1060</v>
      </c>
      <c r="B54" s="3044" t="s">
        <v>1061</v>
      </c>
      <c r="C54" s="3045"/>
      <c r="D54" s="3045">
        <f>PLATI!D54</f>
        <v>0</v>
      </c>
      <c r="E54" s="3047">
        <f t="shared" si="8"/>
        <v>0</v>
      </c>
    </row>
    <row r="55" spans="1:5" s="3389" customFormat="1" ht="18" customHeight="1">
      <c r="A55" s="3124" t="s">
        <v>951</v>
      </c>
      <c r="B55" s="3125" t="s">
        <v>1062</v>
      </c>
      <c r="C55" s="3131">
        <v>7021</v>
      </c>
      <c r="D55" s="3131">
        <f>PLATI!D55</f>
        <v>0</v>
      </c>
      <c r="E55" s="3184">
        <f t="shared" si="8"/>
        <v>7021</v>
      </c>
    </row>
    <row r="56" spans="1:5" s="3389" customFormat="1" ht="18" customHeight="1">
      <c r="A56" s="3124" t="s">
        <v>1530</v>
      </c>
      <c r="B56" s="3125" t="s">
        <v>1063</v>
      </c>
      <c r="C56" s="3131"/>
      <c r="D56" s="3131">
        <f>PLATI!D56</f>
        <v>0</v>
      </c>
      <c r="E56" s="3184">
        <f t="shared" si="8"/>
        <v>0</v>
      </c>
    </row>
    <row r="57" spans="1:5" s="3389" customFormat="1" ht="18" customHeight="1">
      <c r="A57" s="3124" t="s">
        <v>955</v>
      </c>
      <c r="B57" s="3125" t="s">
        <v>1064</v>
      </c>
      <c r="C57" s="3131"/>
      <c r="D57" s="3131">
        <f>PLATI!D57</f>
        <v>0</v>
      </c>
      <c r="E57" s="3184">
        <f t="shared" si="8"/>
        <v>0</v>
      </c>
    </row>
    <row r="58" spans="1:5" s="3389" customFormat="1" ht="18" customHeight="1">
      <c r="A58" s="3124" t="s">
        <v>957</v>
      </c>
      <c r="B58" s="3125" t="s">
        <v>1065</v>
      </c>
      <c r="C58" s="3131">
        <v>4000</v>
      </c>
      <c r="D58" s="3131">
        <f>PLATI!D58</f>
        <v>0</v>
      </c>
      <c r="E58" s="3184">
        <f t="shared" si="8"/>
        <v>4000</v>
      </c>
    </row>
    <row r="59" spans="1:5" s="3389" customFormat="1" ht="36">
      <c r="A59" s="3358" t="s">
        <v>2093</v>
      </c>
      <c r="B59" s="3392" t="s">
        <v>2092</v>
      </c>
      <c r="C59" s="3131">
        <v>3162</v>
      </c>
      <c r="D59" s="3131">
        <f>PLATI!D59</f>
        <v>0</v>
      </c>
      <c r="E59" s="3184">
        <f t="shared" si="8"/>
        <v>3162</v>
      </c>
    </row>
    <row r="60" spans="1:5" s="3389" customFormat="1" ht="18" customHeight="1">
      <c r="A60" s="3124" t="s">
        <v>1066</v>
      </c>
      <c r="B60" s="3125" t="s">
        <v>1067</v>
      </c>
      <c r="C60" s="3113">
        <f t="shared" ref="C60" si="10">ROUND(+C61+C62,1)</f>
        <v>18480</v>
      </c>
      <c r="D60" s="3113">
        <f>PLATI!D60</f>
        <v>0</v>
      </c>
      <c r="E60" s="3114">
        <f t="shared" si="8"/>
        <v>18480</v>
      </c>
    </row>
    <row r="61" spans="1:5" ht="18" customHeight="1">
      <c r="A61" s="3116" t="s">
        <v>870</v>
      </c>
      <c r="B61" s="3044" t="s">
        <v>1068</v>
      </c>
      <c r="C61" s="3045">
        <v>18000</v>
      </c>
      <c r="D61" s="3045">
        <f>PLATI!D61</f>
        <v>0</v>
      </c>
      <c r="E61" s="3047">
        <f t="shared" si="8"/>
        <v>18000</v>
      </c>
    </row>
    <row r="62" spans="1:5" ht="18" customHeight="1">
      <c r="A62" s="3116" t="s">
        <v>960</v>
      </c>
      <c r="B62" s="3044" t="s">
        <v>1069</v>
      </c>
      <c r="C62" s="3045">
        <v>480</v>
      </c>
      <c r="D62" s="3045">
        <f>PLATI!D62</f>
        <v>0</v>
      </c>
      <c r="E62" s="3047">
        <f t="shared" si="8"/>
        <v>480</v>
      </c>
    </row>
    <row r="63" spans="1:5" s="3389" customFormat="1" ht="18" customHeight="1">
      <c r="A63" s="3124" t="s">
        <v>1531</v>
      </c>
      <c r="B63" s="3125" t="s">
        <v>1532</v>
      </c>
      <c r="C63" s="3113">
        <f t="shared" ref="C63:C64" si="11">C64</f>
        <v>0</v>
      </c>
      <c r="D63" s="3113">
        <f>PLATI!D63</f>
        <v>0</v>
      </c>
      <c r="E63" s="3114">
        <f t="shared" si="8"/>
        <v>0</v>
      </c>
    </row>
    <row r="64" spans="1:5" s="3389" customFormat="1" ht="18" customHeight="1">
      <c r="A64" s="3124" t="s">
        <v>1533</v>
      </c>
      <c r="B64" s="3125" t="s">
        <v>1534</v>
      </c>
      <c r="C64" s="3113">
        <f t="shared" si="11"/>
        <v>0</v>
      </c>
      <c r="D64" s="3113">
        <f>PLATI!D64</f>
        <v>0</v>
      </c>
      <c r="E64" s="3114">
        <f t="shared" si="8"/>
        <v>0</v>
      </c>
    </row>
    <row r="65" spans="1:5" ht="18" customHeight="1">
      <c r="A65" s="3116" t="s">
        <v>965</v>
      </c>
      <c r="B65" s="3044" t="s">
        <v>1535</v>
      </c>
      <c r="C65" s="3045"/>
      <c r="D65" s="3045">
        <f>PLATI!D65</f>
        <v>0</v>
      </c>
      <c r="E65" s="3047">
        <f t="shared" si="8"/>
        <v>0</v>
      </c>
    </row>
    <row r="66" spans="1:5" s="3389" customFormat="1" ht="38.25">
      <c r="A66" s="3111" t="s">
        <v>967</v>
      </c>
      <c r="B66" s="3112" t="s">
        <v>968</v>
      </c>
      <c r="C66" s="3113">
        <f t="shared" ref="C66" si="12">+C67</f>
        <v>60303790</v>
      </c>
      <c r="D66" s="3113">
        <f>PLATI!D66</f>
        <v>0</v>
      </c>
      <c r="E66" s="3114">
        <f t="shared" si="8"/>
        <v>60303790</v>
      </c>
    </row>
    <row r="67" spans="1:5" s="3389" customFormat="1" ht="18" customHeight="1">
      <c r="A67" s="3111" t="s">
        <v>969</v>
      </c>
      <c r="B67" s="3112" t="s">
        <v>970</v>
      </c>
      <c r="C67" s="3113">
        <f t="shared" ref="C67" si="13">+C68+C80</f>
        <v>60303790</v>
      </c>
      <c r="D67" s="3113">
        <f>PLATI!D67</f>
        <v>0</v>
      </c>
      <c r="E67" s="3114">
        <f t="shared" si="8"/>
        <v>60303790</v>
      </c>
    </row>
    <row r="68" spans="1:5" s="3389" customFormat="1" ht="48">
      <c r="A68" s="3393" t="s">
        <v>1798</v>
      </c>
      <c r="B68" s="3112" t="s">
        <v>972</v>
      </c>
      <c r="C68" s="3113">
        <f t="shared" ref="C68" si="14">C69+C70+C71+C72+C77+C78+C79+C76</f>
        <v>60303790</v>
      </c>
      <c r="D68" s="3113">
        <f>PLATI!D68</f>
        <v>0</v>
      </c>
      <c r="E68" s="3114">
        <f t="shared" si="8"/>
        <v>60303790</v>
      </c>
    </row>
    <row r="69" spans="1:5" ht="48">
      <c r="A69" s="3137" t="s">
        <v>2207</v>
      </c>
      <c r="B69" s="3138"/>
      <c r="C69" s="3049">
        <v>53795300</v>
      </c>
      <c r="D69" s="3053">
        <f>PLATI!D69</f>
        <v>0</v>
      </c>
      <c r="E69" s="3055">
        <f t="shared" si="8"/>
        <v>53795300</v>
      </c>
    </row>
    <row r="70" spans="1:5" ht="48">
      <c r="A70" s="3137" t="s">
        <v>2208</v>
      </c>
      <c r="B70" s="3139"/>
      <c r="C70" s="3049">
        <v>248934</v>
      </c>
      <c r="D70" s="3053">
        <f>PLATI!D70</f>
        <v>0</v>
      </c>
      <c r="E70" s="3055">
        <f t="shared" si="8"/>
        <v>248934</v>
      </c>
    </row>
    <row r="71" spans="1:5" ht="48">
      <c r="A71" s="3137" t="s">
        <v>2209</v>
      </c>
      <c r="B71" s="3139"/>
      <c r="C71" s="3049">
        <v>154010</v>
      </c>
      <c r="D71" s="3053">
        <f>PLATI!D71</f>
        <v>0</v>
      </c>
      <c r="E71" s="3055">
        <f t="shared" si="8"/>
        <v>154010</v>
      </c>
    </row>
    <row r="72" spans="1:5" s="3389" customFormat="1" ht="48">
      <c r="A72" s="3393" t="s">
        <v>2210</v>
      </c>
      <c r="B72" s="3420"/>
      <c r="C72" s="3113">
        <f t="shared" ref="C72" si="15">C73+C74+C75</f>
        <v>4975893</v>
      </c>
      <c r="D72" s="3113">
        <f>PLATI!D72</f>
        <v>0</v>
      </c>
      <c r="E72" s="3114">
        <f t="shared" si="8"/>
        <v>4975893</v>
      </c>
    </row>
    <row r="73" spans="1:5" ht="101.25">
      <c r="A73" s="3140" t="s">
        <v>2211</v>
      </c>
      <c r="B73" s="3139"/>
      <c r="C73" s="3049">
        <v>1531404</v>
      </c>
      <c r="D73" s="3053">
        <f>PLATI!D73</f>
        <v>0</v>
      </c>
      <c r="E73" s="3055">
        <f t="shared" si="8"/>
        <v>1531404</v>
      </c>
    </row>
    <row r="74" spans="1:5" ht="90">
      <c r="A74" s="3820" t="s">
        <v>2212</v>
      </c>
      <c r="B74" s="3821"/>
      <c r="C74" s="3102">
        <v>1521156</v>
      </c>
      <c r="D74" s="3203">
        <f>PLATI!D74</f>
        <v>0</v>
      </c>
      <c r="E74" s="3204">
        <f t="shared" si="8"/>
        <v>1521156</v>
      </c>
    </row>
    <row r="75" spans="1:5" ht="19.149999999999999" customHeight="1">
      <c r="A75" s="3365" t="s">
        <v>2420</v>
      </c>
      <c r="B75" s="3817"/>
      <c r="C75" s="2714">
        <v>1923333</v>
      </c>
      <c r="D75" s="3818">
        <f>PLATI!D75</f>
        <v>0</v>
      </c>
      <c r="E75" s="3819">
        <f t="shared" si="8"/>
        <v>1923333</v>
      </c>
    </row>
    <row r="76" spans="1:5" ht="135">
      <c r="A76" s="3141" t="s">
        <v>2573</v>
      </c>
      <c r="B76" s="3064"/>
      <c r="C76" s="3049">
        <v>1129653</v>
      </c>
      <c r="D76" s="3053">
        <f>PLATI!D76</f>
        <v>0</v>
      </c>
      <c r="E76" s="3055">
        <f t="shared" si="8"/>
        <v>1129653</v>
      </c>
    </row>
    <row r="77" spans="1:5" ht="56.25">
      <c r="A77" s="3141" t="s">
        <v>2213</v>
      </c>
      <c r="B77" s="3064"/>
      <c r="C77" s="3053"/>
      <c r="D77" s="3053">
        <f>PLATI!D77</f>
        <v>0</v>
      </c>
      <c r="E77" s="3055">
        <f t="shared" si="8"/>
        <v>0</v>
      </c>
    </row>
    <row r="78" spans="1:5" ht="60">
      <c r="A78" s="3142" t="s">
        <v>2214</v>
      </c>
      <c r="B78" s="3064"/>
      <c r="C78" s="3053"/>
      <c r="D78" s="3053">
        <f>PLATI!D78</f>
        <v>0</v>
      </c>
      <c r="E78" s="3055">
        <f t="shared" si="8"/>
        <v>0</v>
      </c>
    </row>
    <row r="79" spans="1:5" ht="45">
      <c r="A79" s="3394" t="s">
        <v>2329</v>
      </c>
      <c r="B79" s="3064"/>
      <c r="C79" s="3053"/>
      <c r="D79" s="3053">
        <f>PLATI!D79</f>
        <v>0</v>
      </c>
      <c r="E79" s="3055">
        <f t="shared" si="8"/>
        <v>0</v>
      </c>
    </row>
    <row r="80" spans="1:5" s="3389" customFormat="1" ht="24">
      <c r="A80" s="3395" t="s">
        <v>2215</v>
      </c>
      <c r="B80" s="3115" t="s">
        <v>2172</v>
      </c>
      <c r="C80" s="3113">
        <f t="shared" ref="C80" si="16">C81+C82</f>
        <v>0</v>
      </c>
      <c r="D80" s="3113">
        <f>PLATI!D80</f>
        <v>0</v>
      </c>
      <c r="E80" s="3114">
        <f t="shared" si="8"/>
        <v>0</v>
      </c>
    </row>
    <row r="81" spans="1:5" ht="48">
      <c r="A81" s="3142" t="s">
        <v>2216</v>
      </c>
      <c r="B81" s="3145"/>
      <c r="C81" s="3117"/>
      <c r="D81" s="3117">
        <f>PLATI!D81</f>
        <v>0</v>
      </c>
      <c r="E81" s="3161">
        <f t="shared" si="8"/>
        <v>0</v>
      </c>
    </row>
    <row r="82" spans="1:5" ht="36">
      <c r="A82" s="3142" t="s">
        <v>2217</v>
      </c>
      <c r="B82" s="3145"/>
      <c r="C82" s="3053"/>
      <c r="D82" s="3053">
        <f>PLATI!D82</f>
        <v>0</v>
      </c>
      <c r="E82" s="3055">
        <f t="shared" si="8"/>
        <v>0</v>
      </c>
    </row>
    <row r="83" spans="1:5" s="3389" customFormat="1" ht="51">
      <c r="A83" s="3124" t="s">
        <v>973</v>
      </c>
      <c r="B83" s="3125" t="s">
        <v>974</v>
      </c>
      <c r="C83" s="3113">
        <f t="shared" ref="C83" si="17">C84+C88+C92</f>
        <v>0</v>
      </c>
      <c r="D83" s="3113">
        <f>PLATI!D83</f>
        <v>0</v>
      </c>
      <c r="E83" s="3114">
        <f t="shared" si="8"/>
        <v>0</v>
      </c>
    </row>
    <row r="84" spans="1:5" s="3389" customFormat="1" ht="25.5">
      <c r="A84" s="3124" t="s">
        <v>2108</v>
      </c>
      <c r="B84" s="3125" t="s">
        <v>2109</v>
      </c>
      <c r="C84" s="3113">
        <f t="shared" ref="C84" si="18">C85+C86+C87</f>
        <v>0</v>
      </c>
      <c r="D84" s="3113">
        <f>PLATI!D84</f>
        <v>0</v>
      </c>
      <c r="E84" s="3114">
        <f t="shared" si="8"/>
        <v>0</v>
      </c>
    </row>
    <row r="85" spans="1:5" ht="18" customHeight="1">
      <c r="A85" s="3116" t="s">
        <v>975</v>
      </c>
      <c r="B85" s="3062" t="s">
        <v>2110</v>
      </c>
      <c r="C85" s="3045"/>
      <c r="D85" s="3045">
        <f>PLATI!D85</f>
        <v>0</v>
      </c>
      <c r="E85" s="3047">
        <f t="shared" si="8"/>
        <v>0</v>
      </c>
    </row>
    <row r="86" spans="1:5" ht="18" customHeight="1">
      <c r="A86" s="3116" t="s">
        <v>976</v>
      </c>
      <c r="B86" s="3062" t="s">
        <v>2111</v>
      </c>
      <c r="C86" s="3045"/>
      <c r="D86" s="3045">
        <f>PLATI!D86</f>
        <v>0</v>
      </c>
      <c r="E86" s="3047">
        <f t="shared" si="8"/>
        <v>0</v>
      </c>
    </row>
    <row r="87" spans="1:5" ht="18" customHeight="1">
      <c r="A87" s="3116" t="s">
        <v>1860</v>
      </c>
      <c r="B87" s="3062" t="s">
        <v>2174</v>
      </c>
      <c r="C87" s="3045"/>
      <c r="D87" s="3045">
        <f>PLATI!D87</f>
        <v>0</v>
      </c>
      <c r="E87" s="3047">
        <f t="shared" si="8"/>
        <v>0</v>
      </c>
    </row>
    <row r="88" spans="1:5" s="3389" customFormat="1" ht="25.5">
      <c r="A88" s="3124" t="s">
        <v>977</v>
      </c>
      <c r="B88" s="3125" t="s">
        <v>978</v>
      </c>
      <c r="C88" s="3113">
        <f t="shared" ref="C88" si="19">C89+C90+C91</f>
        <v>0</v>
      </c>
      <c r="D88" s="3113">
        <f>PLATI!D88</f>
        <v>0</v>
      </c>
      <c r="E88" s="3114">
        <f t="shared" si="8"/>
        <v>0</v>
      </c>
    </row>
    <row r="89" spans="1:5" ht="18" customHeight="1">
      <c r="A89" s="3116" t="s">
        <v>975</v>
      </c>
      <c r="B89" s="3062" t="s">
        <v>979</v>
      </c>
      <c r="C89" s="3045"/>
      <c r="D89" s="3045">
        <f>PLATI!D89</f>
        <v>0</v>
      </c>
      <c r="E89" s="3047">
        <f t="shared" si="8"/>
        <v>0</v>
      </c>
    </row>
    <row r="90" spans="1:5" ht="18" customHeight="1">
      <c r="A90" s="3116" t="s">
        <v>976</v>
      </c>
      <c r="B90" s="3062" t="s">
        <v>1858</v>
      </c>
      <c r="C90" s="3045"/>
      <c r="D90" s="3045">
        <f>PLATI!D90</f>
        <v>0</v>
      </c>
      <c r="E90" s="3047">
        <f t="shared" si="8"/>
        <v>0</v>
      </c>
    </row>
    <row r="91" spans="1:5" ht="18" customHeight="1">
      <c r="A91" s="3116" t="s">
        <v>1860</v>
      </c>
      <c r="B91" s="3062" t="s">
        <v>1859</v>
      </c>
      <c r="C91" s="3045"/>
      <c r="D91" s="3045">
        <f>PLATI!D91</f>
        <v>0</v>
      </c>
      <c r="E91" s="3047">
        <f t="shared" si="8"/>
        <v>0</v>
      </c>
    </row>
    <row r="92" spans="1:5" s="3389" customFormat="1" ht="25.5">
      <c r="A92" s="3124" t="s">
        <v>1954</v>
      </c>
      <c r="B92" s="3125" t="s">
        <v>2574</v>
      </c>
      <c r="C92" s="3113">
        <f t="shared" ref="C92" si="20">C93+C94+C95</f>
        <v>0</v>
      </c>
      <c r="D92" s="3113">
        <f>PLATI!D92</f>
        <v>0</v>
      </c>
      <c r="E92" s="3114">
        <f t="shared" si="8"/>
        <v>0</v>
      </c>
    </row>
    <row r="93" spans="1:5" ht="18" customHeight="1">
      <c r="A93" s="3116" t="s">
        <v>975</v>
      </c>
      <c r="B93" s="3062" t="s">
        <v>2575</v>
      </c>
      <c r="C93" s="3045"/>
      <c r="D93" s="3045">
        <f>PLATI!D93</f>
        <v>0</v>
      </c>
      <c r="E93" s="3047">
        <f t="shared" si="8"/>
        <v>0</v>
      </c>
    </row>
    <row r="94" spans="1:5" ht="18" customHeight="1">
      <c r="A94" s="3116" t="s">
        <v>976</v>
      </c>
      <c r="B94" s="3062" t="s">
        <v>2576</v>
      </c>
      <c r="C94" s="3045"/>
      <c r="D94" s="3045">
        <f>PLATI!D94</f>
        <v>0</v>
      </c>
      <c r="E94" s="3047">
        <f t="shared" si="8"/>
        <v>0</v>
      </c>
    </row>
    <row r="95" spans="1:5" ht="18" customHeight="1">
      <c r="A95" s="3116" t="s">
        <v>1860</v>
      </c>
      <c r="B95" s="3062" t="s">
        <v>2577</v>
      </c>
      <c r="C95" s="3045"/>
      <c r="D95" s="3045">
        <f>PLATI!D95</f>
        <v>0</v>
      </c>
      <c r="E95" s="3047">
        <f t="shared" si="8"/>
        <v>0</v>
      </c>
    </row>
    <row r="96" spans="1:5" s="3389" customFormat="1" ht="18" customHeight="1">
      <c r="A96" s="3124" t="s">
        <v>980</v>
      </c>
      <c r="B96" s="3125" t="s">
        <v>981</v>
      </c>
      <c r="C96" s="3113">
        <f t="shared" ref="C96" si="21">+C97+C98</f>
        <v>0</v>
      </c>
      <c r="D96" s="3113">
        <f>PLATI!D96</f>
        <v>0</v>
      </c>
      <c r="E96" s="3114">
        <f t="shared" si="8"/>
        <v>0</v>
      </c>
    </row>
    <row r="97" spans="1:5" ht="18" customHeight="1">
      <c r="A97" s="3116" t="s">
        <v>982</v>
      </c>
      <c r="B97" s="3062" t="s">
        <v>983</v>
      </c>
      <c r="C97" s="3045"/>
      <c r="D97" s="3045">
        <f>PLATI!D97</f>
        <v>0</v>
      </c>
      <c r="E97" s="3047">
        <f t="shared" si="8"/>
        <v>0</v>
      </c>
    </row>
    <row r="98" spans="1:5" ht="25.5">
      <c r="A98" s="3116" t="s">
        <v>1864</v>
      </c>
      <c r="B98" s="3062" t="s">
        <v>1863</v>
      </c>
      <c r="C98" s="3045"/>
      <c r="D98" s="3045">
        <f>PLATI!D98</f>
        <v>0</v>
      </c>
      <c r="E98" s="3047">
        <f t="shared" si="8"/>
        <v>0</v>
      </c>
    </row>
    <row r="99" spans="1:5" s="3389" customFormat="1" ht="18" customHeight="1">
      <c r="A99" s="3124" t="s">
        <v>872</v>
      </c>
      <c r="B99" s="3125" t="s">
        <v>1070</v>
      </c>
      <c r="C99" s="3113">
        <f t="shared" ref="C99" si="22">ROUND(+C100,1)</f>
        <v>0</v>
      </c>
      <c r="D99" s="3113">
        <f>PLATI!D99</f>
        <v>0</v>
      </c>
      <c r="E99" s="3114">
        <f t="shared" si="8"/>
        <v>0</v>
      </c>
    </row>
    <row r="100" spans="1:5" s="3389" customFormat="1" ht="25.5">
      <c r="A100" s="3124" t="s">
        <v>2425</v>
      </c>
      <c r="B100" s="3125" t="s">
        <v>1071</v>
      </c>
      <c r="C100" s="3113">
        <f t="shared" ref="C100" si="23">ROUND(+C101+C106,1)</f>
        <v>0</v>
      </c>
      <c r="D100" s="3113">
        <f>PLATI!D100</f>
        <v>0</v>
      </c>
      <c r="E100" s="3114">
        <f t="shared" si="8"/>
        <v>0</v>
      </c>
    </row>
    <row r="101" spans="1:5" s="3389" customFormat="1" ht="18" customHeight="1">
      <c r="A101" s="3124" t="s">
        <v>1536</v>
      </c>
      <c r="B101" s="3125" t="s">
        <v>1072</v>
      </c>
      <c r="C101" s="3113">
        <f t="shared" ref="C101" si="24">ROUND(C102+C103+C104+C105,1)</f>
        <v>0</v>
      </c>
      <c r="D101" s="3113">
        <f>PLATI!D101</f>
        <v>0</v>
      </c>
      <c r="E101" s="3114">
        <f t="shared" si="8"/>
        <v>0</v>
      </c>
    </row>
    <row r="102" spans="1:5" ht="18" customHeight="1">
      <c r="A102" s="3116" t="s">
        <v>992</v>
      </c>
      <c r="B102" s="3044" t="s">
        <v>1073</v>
      </c>
      <c r="C102" s="3045"/>
      <c r="D102" s="3045">
        <f>PLATI!D102</f>
        <v>0</v>
      </c>
      <c r="E102" s="3047">
        <f t="shared" si="8"/>
        <v>0</v>
      </c>
    </row>
    <row r="103" spans="1:5" ht="18" customHeight="1">
      <c r="A103" s="3147" t="s">
        <v>876</v>
      </c>
      <c r="B103" s="3148" t="s">
        <v>1074</v>
      </c>
      <c r="C103" s="3045"/>
      <c r="D103" s="3045">
        <f>PLATI!D103</f>
        <v>0</v>
      </c>
      <c r="E103" s="3047">
        <f t="shared" si="8"/>
        <v>0</v>
      </c>
    </row>
    <row r="104" spans="1:5" ht="25.5">
      <c r="A104" s="3829" t="s">
        <v>994</v>
      </c>
      <c r="B104" s="3830" t="s">
        <v>1075</v>
      </c>
      <c r="C104" s="3197"/>
      <c r="D104" s="3197">
        <f>PLATI!D104</f>
        <v>0</v>
      </c>
      <c r="E104" s="3200">
        <f t="shared" si="8"/>
        <v>0</v>
      </c>
    </row>
    <row r="105" spans="1:5" ht="18" customHeight="1">
      <c r="A105" s="3195" t="s">
        <v>1537</v>
      </c>
      <c r="B105" s="3822" t="s">
        <v>1076</v>
      </c>
      <c r="C105" s="3823"/>
      <c r="D105" s="3823">
        <f>PLATI!D105</f>
        <v>0</v>
      </c>
      <c r="E105" s="3824">
        <f t="shared" si="8"/>
        <v>0</v>
      </c>
    </row>
    <row r="106" spans="1:5" s="3389" customFormat="1" ht="18" customHeight="1">
      <c r="A106" s="3124" t="s">
        <v>998</v>
      </c>
      <c r="B106" s="3125" t="s">
        <v>1538</v>
      </c>
      <c r="C106" s="3131"/>
      <c r="D106" s="3131">
        <f>PLATI!D106</f>
        <v>0</v>
      </c>
      <c r="E106" s="3184">
        <f t="shared" si="8"/>
        <v>0</v>
      </c>
    </row>
    <row r="107" spans="1:5" s="3389" customFormat="1" ht="18" customHeight="1">
      <c r="A107" s="3396" t="s">
        <v>822</v>
      </c>
      <c r="B107" s="3397" t="s">
        <v>823</v>
      </c>
      <c r="C107" s="3131"/>
      <c r="D107" s="3131">
        <f>PLATI!D107</f>
        <v>0</v>
      </c>
      <c r="E107" s="3184">
        <f t="shared" si="8"/>
        <v>0</v>
      </c>
    </row>
    <row r="108" spans="1:5" s="3389" customFormat="1" ht="18" customHeight="1">
      <c r="A108" s="3396" t="s">
        <v>824</v>
      </c>
      <c r="B108" s="3397" t="s">
        <v>825</v>
      </c>
      <c r="C108" s="3113">
        <f t="shared" ref="C108" si="25">ROUND(C12+C34+C63+C66-C44-C107+C96+C83+C99,1)</f>
        <v>65744644</v>
      </c>
      <c r="D108" s="3113">
        <f>PLATI!D108</f>
        <v>-21349</v>
      </c>
      <c r="E108" s="3114">
        <f t="shared" si="8"/>
        <v>65723295</v>
      </c>
    </row>
    <row r="109" spans="1:5" s="3389" customFormat="1" ht="24">
      <c r="A109" s="3152" t="s">
        <v>1000</v>
      </c>
      <c r="B109" s="3153" t="s">
        <v>1001</v>
      </c>
      <c r="C109" s="3113"/>
      <c r="D109" s="3113">
        <f>PLATI!D109</f>
        <v>0</v>
      </c>
      <c r="E109" s="3114">
        <f t="shared" si="8"/>
        <v>0</v>
      </c>
    </row>
    <row r="110" spans="1:5" s="3389" customFormat="1" ht="24">
      <c r="A110" s="3154" t="s">
        <v>2424</v>
      </c>
      <c r="B110" s="3153" t="s">
        <v>1002</v>
      </c>
      <c r="C110" s="3113"/>
      <c r="D110" s="3113">
        <f>PLATI!D110</f>
        <v>0</v>
      </c>
      <c r="E110" s="3114">
        <f t="shared" si="8"/>
        <v>0</v>
      </c>
    </row>
    <row r="111" spans="1:5" ht="24">
      <c r="A111" s="3155" t="s">
        <v>1594</v>
      </c>
      <c r="B111" s="3156" t="s">
        <v>1004</v>
      </c>
      <c r="C111" s="3113"/>
      <c r="D111" s="3113">
        <f>PLATI!D111</f>
        <v>0</v>
      </c>
      <c r="E111" s="3114">
        <f t="shared" si="8"/>
        <v>0</v>
      </c>
    </row>
    <row r="112" spans="1:5" ht="24">
      <c r="A112" s="3155" t="s">
        <v>1594</v>
      </c>
      <c r="B112" s="3156" t="s">
        <v>1005</v>
      </c>
      <c r="C112" s="3058"/>
      <c r="D112" s="3058">
        <f>PLATI!D112</f>
        <v>0</v>
      </c>
      <c r="E112" s="3126">
        <f t="shared" si="8"/>
        <v>0</v>
      </c>
    </row>
    <row r="113" spans="1:5" s="3389" customFormat="1" ht="25.5">
      <c r="A113" s="3398" t="s">
        <v>1046</v>
      </c>
      <c r="B113" s="3399"/>
      <c r="C113" s="3113">
        <f t="shared" ref="C113" si="26">C114+C203+C241+C244+C267+C268</f>
        <v>275281824</v>
      </c>
      <c r="D113" s="3113">
        <f>PLATI!D113</f>
        <v>-119770</v>
      </c>
      <c r="E113" s="3114">
        <f t="shared" si="8"/>
        <v>275162054</v>
      </c>
    </row>
    <row r="114" spans="1:5" s="3389" customFormat="1" ht="38.25">
      <c r="A114" s="3396" t="s">
        <v>826</v>
      </c>
      <c r="B114" s="3397" t="s">
        <v>827</v>
      </c>
      <c r="C114" s="3113">
        <f t="shared" ref="C114" si="27">ROUND(+C115+C130+C167+C197+C200,1)</f>
        <v>108230980</v>
      </c>
      <c r="D114" s="3113">
        <f>PLATI!D114</f>
        <v>-7650</v>
      </c>
      <c r="E114" s="3114">
        <f t="shared" ref="E114:E177" si="28">C114+D114</f>
        <v>108223330</v>
      </c>
    </row>
    <row r="115" spans="1:5" s="3389" customFormat="1" ht="25.5">
      <c r="A115" s="3124" t="s">
        <v>1595</v>
      </c>
      <c r="B115" s="3125" t="s">
        <v>829</v>
      </c>
      <c r="C115" s="3113">
        <f t="shared" ref="C115" si="29">C116+C117+C118+C119+C120+C121+C124</f>
        <v>53985420</v>
      </c>
      <c r="D115" s="3113">
        <f>PLATI!D115</f>
        <v>-7650</v>
      </c>
      <c r="E115" s="3114">
        <f t="shared" si="28"/>
        <v>53977770</v>
      </c>
    </row>
    <row r="116" spans="1:5" ht="18" customHeight="1">
      <c r="A116" s="3159" t="s">
        <v>1539</v>
      </c>
      <c r="B116" s="3044"/>
      <c r="C116" s="3053">
        <v>48107000</v>
      </c>
      <c r="D116" s="3053">
        <f>PLATI!D116</f>
        <v>-7650</v>
      </c>
      <c r="E116" s="3055">
        <f t="shared" si="28"/>
        <v>48099350</v>
      </c>
    </row>
    <row r="117" spans="1:5" ht="63.75">
      <c r="A117" s="3159" t="s">
        <v>2451</v>
      </c>
      <c r="B117" s="3044"/>
      <c r="C117" s="3053"/>
      <c r="D117" s="3053">
        <f>PLATI!D117</f>
        <v>0</v>
      </c>
      <c r="E117" s="3055">
        <f t="shared" si="28"/>
        <v>0</v>
      </c>
    </row>
    <row r="118" spans="1:5" ht="102">
      <c r="A118" s="3159" t="s">
        <v>2452</v>
      </c>
      <c r="B118" s="3044"/>
      <c r="C118" s="3053"/>
      <c r="D118" s="3053">
        <f>PLATI!D118</f>
        <v>0</v>
      </c>
      <c r="E118" s="3055">
        <f t="shared" si="28"/>
        <v>0</v>
      </c>
    </row>
    <row r="119" spans="1:5" ht="60">
      <c r="A119" s="3173" t="s">
        <v>1795</v>
      </c>
      <c r="B119" s="3044"/>
      <c r="C119" s="3206">
        <v>760000</v>
      </c>
      <c r="D119" s="3053">
        <f>PLATI!D119</f>
        <v>0</v>
      </c>
      <c r="E119" s="3055">
        <f t="shared" si="28"/>
        <v>760000</v>
      </c>
    </row>
    <row r="120" spans="1:5" ht="18" customHeight="1">
      <c r="A120" s="3159" t="s">
        <v>1540</v>
      </c>
      <c r="B120" s="3044"/>
      <c r="C120" s="3053">
        <v>7000</v>
      </c>
      <c r="D120" s="3053">
        <f>PLATI!D120</f>
        <v>0</v>
      </c>
      <c r="E120" s="3055">
        <f t="shared" si="28"/>
        <v>7000</v>
      </c>
    </row>
    <row r="121" spans="1:5" ht="18" customHeight="1">
      <c r="A121" s="3160" t="s">
        <v>2453</v>
      </c>
      <c r="B121" s="3044"/>
      <c r="C121" s="3117">
        <f t="shared" ref="C121" si="30">C122+C123</f>
        <v>0</v>
      </c>
      <c r="D121" s="3117">
        <f>PLATI!D121</f>
        <v>0</v>
      </c>
      <c r="E121" s="3161">
        <f t="shared" si="28"/>
        <v>0</v>
      </c>
    </row>
    <row r="122" spans="1:5" ht="18" customHeight="1">
      <c r="A122" s="3160" t="s">
        <v>1539</v>
      </c>
      <c r="B122" s="3044"/>
      <c r="C122" s="3053"/>
      <c r="D122" s="3053">
        <f>PLATI!D122</f>
        <v>0</v>
      </c>
      <c r="E122" s="3055">
        <f t="shared" si="28"/>
        <v>0</v>
      </c>
    </row>
    <row r="123" spans="1:5" ht="84">
      <c r="A123" s="3160" t="s">
        <v>2452</v>
      </c>
      <c r="B123" s="3044"/>
      <c r="C123" s="3053"/>
      <c r="D123" s="3053">
        <f>PLATI!D123</f>
        <v>0</v>
      </c>
      <c r="E123" s="3055">
        <f t="shared" si="28"/>
        <v>0</v>
      </c>
    </row>
    <row r="124" spans="1:5" ht="18" customHeight="1">
      <c r="A124" s="3162" t="s">
        <v>2197</v>
      </c>
      <c r="B124" s="3163"/>
      <c r="C124" s="3164">
        <f t="shared" ref="C124" si="31">C125+C128+C129</f>
        <v>5111420</v>
      </c>
      <c r="D124" s="3164">
        <f>PLATI!D124</f>
        <v>0</v>
      </c>
      <c r="E124" s="3165">
        <f t="shared" si="28"/>
        <v>5111420</v>
      </c>
    </row>
    <row r="125" spans="1:5" ht="33.75">
      <c r="A125" s="3166" t="s">
        <v>2198</v>
      </c>
      <c r="B125" s="3044"/>
      <c r="C125" s="3117">
        <f t="shared" ref="C125" si="32">C126+C127</f>
        <v>4789770</v>
      </c>
      <c r="D125" s="3117">
        <f>PLATI!D125</f>
        <v>0</v>
      </c>
      <c r="E125" s="3161">
        <f t="shared" si="28"/>
        <v>4789770</v>
      </c>
    </row>
    <row r="126" spans="1:5" ht="18" customHeight="1">
      <c r="A126" s="3166" t="s">
        <v>2454</v>
      </c>
      <c r="B126" s="3044"/>
      <c r="C126" s="3053">
        <v>4789770</v>
      </c>
      <c r="D126" s="3053">
        <f>PLATI!D126</f>
        <v>0</v>
      </c>
      <c r="E126" s="3055">
        <f t="shared" si="28"/>
        <v>4789770</v>
      </c>
    </row>
    <row r="127" spans="1:5" ht="67.5">
      <c r="A127" s="3166" t="s">
        <v>2452</v>
      </c>
      <c r="B127" s="3044"/>
      <c r="C127" s="3053"/>
      <c r="D127" s="3053">
        <f>PLATI!D127</f>
        <v>0</v>
      </c>
      <c r="E127" s="3055">
        <f t="shared" si="28"/>
        <v>0</v>
      </c>
    </row>
    <row r="128" spans="1:5" ht="56.25">
      <c r="A128" s="3167" t="s">
        <v>2199</v>
      </c>
      <c r="B128" s="3044"/>
      <c r="C128" s="3053">
        <v>158650</v>
      </c>
      <c r="D128" s="3053">
        <f>PLATI!D128</f>
        <v>0</v>
      </c>
      <c r="E128" s="3055">
        <f t="shared" si="28"/>
        <v>158650</v>
      </c>
    </row>
    <row r="129" spans="1:5" ht="56.25">
      <c r="A129" s="3831" t="s">
        <v>2200</v>
      </c>
      <c r="B129" s="3187"/>
      <c r="C129" s="3053">
        <v>163000</v>
      </c>
      <c r="D129" s="3203">
        <f>PLATI!D129</f>
        <v>0</v>
      </c>
      <c r="E129" s="3204">
        <f t="shared" si="28"/>
        <v>163000</v>
      </c>
    </row>
    <row r="130" spans="1:5" s="3389" customFormat="1" ht="38.25">
      <c r="A130" s="3815" t="s">
        <v>1596</v>
      </c>
      <c r="B130" s="3816" t="s">
        <v>831</v>
      </c>
      <c r="C130" s="3826">
        <f t="shared" ref="C130" si="33">C132+C135+C138+C141+C144+C147+C150+C154+C157</f>
        <v>34403650</v>
      </c>
      <c r="D130" s="3826">
        <f>PLATI!D130</f>
        <v>0</v>
      </c>
      <c r="E130" s="3827">
        <f t="shared" si="28"/>
        <v>34403650</v>
      </c>
    </row>
    <row r="131" spans="1:5" ht="18" hidden="1" customHeight="1">
      <c r="A131" s="3382" t="s">
        <v>1539</v>
      </c>
      <c r="B131" s="3151"/>
      <c r="C131" s="3168">
        <f>C133+C136+C139+C142+C145+C148+C151+C155+C159+C165</f>
        <v>33902880</v>
      </c>
      <c r="D131" s="3168">
        <f>PLATI!D131</f>
        <v>0</v>
      </c>
      <c r="E131" s="3169">
        <f t="shared" si="28"/>
        <v>33902880</v>
      </c>
    </row>
    <row r="132" spans="1:5" ht="25.5">
      <c r="A132" s="3159" t="s">
        <v>1541</v>
      </c>
      <c r="B132" s="3044"/>
      <c r="C132" s="3058">
        <f t="shared" ref="C132" si="34">C133+C134</f>
        <v>1551590</v>
      </c>
      <c r="D132" s="3058">
        <f>PLATI!D132</f>
        <v>0</v>
      </c>
      <c r="E132" s="3126">
        <f t="shared" si="28"/>
        <v>1551590</v>
      </c>
    </row>
    <row r="133" spans="1:5" ht="14.25">
      <c r="A133" s="3159" t="s">
        <v>2454</v>
      </c>
      <c r="B133" s="3044"/>
      <c r="C133" s="3045">
        <v>1551590</v>
      </c>
      <c r="D133" s="3045">
        <f>PLATI!D133</f>
        <v>0</v>
      </c>
      <c r="E133" s="3047">
        <f t="shared" si="28"/>
        <v>1551590</v>
      </c>
    </row>
    <row r="134" spans="1:5" ht="102">
      <c r="A134" s="3159" t="s">
        <v>2452</v>
      </c>
      <c r="B134" s="3044"/>
      <c r="C134" s="3045"/>
      <c r="D134" s="3045">
        <f>PLATI!D134</f>
        <v>0</v>
      </c>
      <c r="E134" s="3047">
        <f t="shared" si="28"/>
        <v>0</v>
      </c>
    </row>
    <row r="135" spans="1:5" ht="25.5">
      <c r="A135" s="3159" t="s">
        <v>1542</v>
      </c>
      <c r="B135" s="3044"/>
      <c r="C135" s="3058">
        <f t="shared" ref="C135" si="35">C136+C137</f>
        <v>0</v>
      </c>
      <c r="D135" s="3058">
        <f>PLATI!D135</f>
        <v>0</v>
      </c>
      <c r="E135" s="3126">
        <f t="shared" si="28"/>
        <v>0</v>
      </c>
    </row>
    <row r="136" spans="1:5" ht="18" customHeight="1">
      <c r="A136" s="3159" t="s">
        <v>2454</v>
      </c>
      <c r="B136" s="3044"/>
      <c r="C136" s="3045"/>
      <c r="D136" s="3045">
        <f>PLATI!D136</f>
        <v>0</v>
      </c>
      <c r="E136" s="3047">
        <f t="shared" si="28"/>
        <v>0</v>
      </c>
    </row>
    <row r="137" spans="1:5" ht="102">
      <c r="A137" s="3159" t="s">
        <v>2452</v>
      </c>
      <c r="B137" s="3044"/>
      <c r="C137" s="3045"/>
      <c r="D137" s="3045">
        <f>PLATI!D137</f>
        <v>0</v>
      </c>
      <c r="E137" s="3047">
        <f t="shared" si="28"/>
        <v>0</v>
      </c>
    </row>
    <row r="138" spans="1:5" ht="25.5">
      <c r="A138" s="3159" t="s">
        <v>1543</v>
      </c>
      <c r="B138" s="3044"/>
      <c r="C138" s="3058">
        <f t="shared" ref="C138" si="36">C139+C140</f>
        <v>848440</v>
      </c>
      <c r="D138" s="3058">
        <f>PLATI!D138</f>
        <v>0</v>
      </c>
      <c r="E138" s="3126">
        <f t="shared" si="28"/>
        <v>848440</v>
      </c>
    </row>
    <row r="139" spans="1:5" ht="18" customHeight="1">
      <c r="A139" s="3159" t="s">
        <v>2454</v>
      </c>
      <c r="B139" s="3044"/>
      <c r="C139" s="3045">
        <v>848440</v>
      </c>
      <c r="D139" s="3045">
        <f>PLATI!D139</f>
        <v>0</v>
      </c>
      <c r="E139" s="3047">
        <f t="shared" si="28"/>
        <v>848440</v>
      </c>
    </row>
    <row r="140" spans="1:5" ht="102">
      <c r="A140" s="3159" t="s">
        <v>2452</v>
      </c>
      <c r="B140" s="3044"/>
      <c r="C140" s="3045"/>
      <c r="D140" s="3045">
        <f>PLATI!D140</f>
        <v>0</v>
      </c>
      <c r="E140" s="3047">
        <f t="shared" si="28"/>
        <v>0</v>
      </c>
    </row>
    <row r="141" spans="1:5" ht="18" customHeight="1">
      <c r="A141" s="3159" t="s">
        <v>1544</v>
      </c>
      <c r="B141" s="3044"/>
      <c r="C141" s="3058">
        <f t="shared" ref="C141" si="37">C142+C143</f>
        <v>14368510</v>
      </c>
      <c r="D141" s="3058">
        <f>PLATI!D141</f>
        <v>0</v>
      </c>
      <c r="E141" s="3126">
        <f t="shared" si="28"/>
        <v>14368510</v>
      </c>
    </row>
    <row r="142" spans="1:5" ht="18" customHeight="1">
      <c r="A142" s="3159" t="s">
        <v>2454</v>
      </c>
      <c r="B142" s="3044"/>
      <c r="C142" s="3045">
        <v>14368510</v>
      </c>
      <c r="D142" s="3045">
        <f>PLATI!D142</f>
        <v>0</v>
      </c>
      <c r="E142" s="3047">
        <f t="shared" si="28"/>
        <v>14368510</v>
      </c>
    </row>
    <row r="143" spans="1:5" ht="102">
      <c r="A143" s="3159" t="s">
        <v>2452</v>
      </c>
      <c r="B143" s="3044"/>
      <c r="C143" s="3045"/>
      <c r="D143" s="3045">
        <f>PLATI!D143</f>
        <v>0</v>
      </c>
      <c r="E143" s="3047">
        <f t="shared" si="28"/>
        <v>0</v>
      </c>
    </row>
    <row r="144" spans="1:5" ht="18" customHeight="1">
      <c r="A144" s="3159" t="s">
        <v>1545</v>
      </c>
      <c r="B144" s="3044"/>
      <c r="C144" s="3058">
        <f t="shared" ref="C144" si="38">C145+C146</f>
        <v>0</v>
      </c>
      <c r="D144" s="3058">
        <f>PLATI!D144</f>
        <v>0</v>
      </c>
      <c r="E144" s="3126">
        <f t="shared" si="28"/>
        <v>0</v>
      </c>
    </row>
    <row r="145" spans="1:5" ht="18" customHeight="1">
      <c r="A145" s="3159" t="s">
        <v>2454</v>
      </c>
      <c r="B145" s="3044"/>
      <c r="C145" s="3045"/>
      <c r="D145" s="3045">
        <f>PLATI!D145</f>
        <v>0</v>
      </c>
      <c r="E145" s="3047">
        <f t="shared" si="28"/>
        <v>0</v>
      </c>
    </row>
    <row r="146" spans="1:5" ht="102">
      <c r="A146" s="3159" t="s">
        <v>2452</v>
      </c>
      <c r="B146" s="3044"/>
      <c r="C146" s="3045"/>
      <c r="D146" s="3045">
        <f>PLATI!D146</f>
        <v>0</v>
      </c>
      <c r="E146" s="3047">
        <f t="shared" si="28"/>
        <v>0</v>
      </c>
    </row>
    <row r="147" spans="1:5" ht="35.450000000000003" customHeight="1">
      <c r="A147" s="3159" t="s">
        <v>1546</v>
      </c>
      <c r="B147" s="3044"/>
      <c r="C147" s="3058">
        <f t="shared" ref="C147" si="39">C148+C149</f>
        <v>185900</v>
      </c>
      <c r="D147" s="3058">
        <f>PLATI!D147</f>
        <v>0</v>
      </c>
      <c r="E147" s="3126">
        <f t="shared" si="28"/>
        <v>185900</v>
      </c>
    </row>
    <row r="148" spans="1:5" ht="18" customHeight="1">
      <c r="A148" s="3209" t="s">
        <v>2454</v>
      </c>
      <c r="B148" s="3187"/>
      <c r="C148" s="3197">
        <v>185900</v>
      </c>
      <c r="D148" s="3197">
        <f>PLATI!D148</f>
        <v>0</v>
      </c>
      <c r="E148" s="3200">
        <f t="shared" si="28"/>
        <v>185900</v>
      </c>
    </row>
    <row r="149" spans="1:5" ht="102">
      <c r="A149" s="2732" t="s">
        <v>2452</v>
      </c>
      <c r="B149" s="3822"/>
      <c r="C149" s="3823"/>
      <c r="D149" s="3823">
        <f>PLATI!D149</f>
        <v>0</v>
      </c>
      <c r="E149" s="3824">
        <f t="shared" si="28"/>
        <v>0</v>
      </c>
    </row>
    <row r="150" spans="1:5" ht="18" customHeight="1">
      <c r="A150" s="3159" t="s">
        <v>1547</v>
      </c>
      <c r="B150" s="3044"/>
      <c r="C150" s="3058">
        <f t="shared" ref="C150" si="40">C151++C152+C153</f>
        <v>8911980</v>
      </c>
      <c r="D150" s="3058">
        <f>PLATI!D150</f>
        <v>0</v>
      </c>
      <c r="E150" s="3126">
        <f t="shared" si="28"/>
        <v>8911980</v>
      </c>
    </row>
    <row r="151" spans="1:5" ht="18" customHeight="1">
      <c r="A151" s="3159" t="s">
        <v>2454</v>
      </c>
      <c r="B151" s="3044"/>
      <c r="C151" s="3045">
        <v>8911980</v>
      </c>
      <c r="D151" s="3045">
        <f>PLATI!D151</f>
        <v>0</v>
      </c>
      <c r="E151" s="3047">
        <f t="shared" si="28"/>
        <v>8911980</v>
      </c>
    </row>
    <row r="152" spans="1:5" ht="18" hidden="1" customHeight="1">
      <c r="A152" s="3159" t="s">
        <v>2475</v>
      </c>
      <c r="B152" s="3044"/>
      <c r="C152" s="3045"/>
      <c r="D152" s="3045">
        <f>PLATI!D152</f>
        <v>0</v>
      </c>
      <c r="E152" s="3047">
        <f t="shared" si="28"/>
        <v>0</v>
      </c>
    </row>
    <row r="153" spans="1:5" ht="102">
      <c r="A153" s="3159" t="s">
        <v>2452</v>
      </c>
      <c r="B153" s="3044"/>
      <c r="C153" s="3045"/>
      <c r="D153" s="3045">
        <f>PLATI!D153</f>
        <v>0</v>
      </c>
      <c r="E153" s="3047">
        <f t="shared" si="28"/>
        <v>0</v>
      </c>
    </row>
    <row r="154" spans="1:5" ht="25.5">
      <c r="A154" s="3159" t="s">
        <v>1548</v>
      </c>
      <c r="B154" s="3044"/>
      <c r="C154" s="3058">
        <f t="shared" ref="C154" si="41">C155+C156</f>
        <v>0</v>
      </c>
      <c r="D154" s="3058">
        <f>PLATI!D154</f>
        <v>0</v>
      </c>
      <c r="E154" s="3126">
        <f t="shared" si="28"/>
        <v>0</v>
      </c>
    </row>
    <row r="155" spans="1:5" ht="18" customHeight="1">
      <c r="A155" s="3159" t="s">
        <v>2454</v>
      </c>
      <c r="B155" s="3044"/>
      <c r="C155" s="3045"/>
      <c r="D155" s="3045">
        <f>PLATI!D155</f>
        <v>0</v>
      </c>
      <c r="E155" s="3047">
        <f t="shared" si="28"/>
        <v>0</v>
      </c>
    </row>
    <row r="156" spans="1:5" ht="102">
      <c r="A156" s="3159" t="s">
        <v>2452</v>
      </c>
      <c r="B156" s="3044"/>
      <c r="C156" s="3045"/>
      <c r="D156" s="3045">
        <f>PLATI!D156</f>
        <v>0</v>
      </c>
      <c r="E156" s="3047">
        <f t="shared" si="28"/>
        <v>0</v>
      </c>
    </row>
    <row r="157" spans="1:5" s="3389" customFormat="1" ht="48">
      <c r="A157" s="3400" t="s">
        <v>1549</v>
      </c>
      <c r="B157" s="3125"/>
      <c r="C157" s="3113">
        <f t="shared" ref="C157" si="42">C158+C161+C162+C163+C164</f>
        <v>8537230</v>
      </c>
      <c r="D157" s="3113">
        <f>PLATI!D157</f>
        <v>0</v>
      </c>
      <c r="E157" s="3114">
        <f t="shared" si="28"/>
        <v>8537230</v>
      </c>
    </row>
    <row r="158" spans="1:5" ht="38.25">
      <c r="A158" s="3171" t="s">
        <v>1550</v>
      </c>
      <c r="B158" s="3044"/>
      <c r="C158" s="3058">
        <f t="shared" ref="C158" si="43">C159+C160</f>
        <v>8036460</v>
      </c>
      <c r="D158" s="3058">
        <f>PLATI!D158</f>
        <v>0</v>
      </c>
      <c r="E158" s="3126">
        <f t="shared" si="28"/>
        <v>8036460</v>
      </c>
    </row>
    <row r="159" spans="1:5" ht="18" customHeight="1">
      <c r="A159" s="3159" t="s">
        <v>2454</v>
      </c>
      <c r="B159" s="3044"/>
      <c r="C159" s="3045">
        <v>8036460</v>
      </c>
      <c r="D159" s="3045">
        <f>PLATI!D159</f>
        <v>0</v>
      </c>
      <c r="E159" s="3047">
        <f t="shared" si="28"/>
        <v>8036460</v>
      </c>
    </row>
    <row r="160" spans="1:5" ht="102">
      <c r="A160" s="3159" t="s">
        <v>2452</v>
      </c>
      <c r="B160" s="3044"/>
      <c r="C160" s="3045"/>
      <c r="D160" s="3045">
        <f>PLATI!D160</f>
        <v>0</v>
      </c>
      <c r="E160" s="3047">
        <f t="shared" si="28"/>
        <v>0</v>
      </c>
    </row>
    <row r="161" spans="1:5" ht="25.5">
      <c r="A161" s="3171" t="s">
        <v>2567</v>
      </c>
      <c r="B161" s="3044"/>
      <c r="C161" s="3045"/>
      <c r="D161" s="3045">
        <f>PLATI!D161</f>
        <v>0</v>
      </c>
      <c r="E161" s="3047">
        <f t="shared" si="28"/>
        <v>0</v>
      </c>
    </row>
    <row r="162" spans="1:5" ht="25.5">
      <c r="A162" s="3171" t="s">
        <v>2421</v>
      </c>
      <c r="B162" s="3044"/>
      <c r="C162" s="3197">
        <v>500770</v>
      </c>
      <c r="D162" s="3045">
        <f>PLATI!D162</f>
        <v>0</v>
      </c>
      <c r="E162" s="3047">
        <f t="shared" si="28"/>
        <v>500770</v>
      </c>
    </row>
    <row r="163" spans="1:5" ht="25.5">
      <c r="A163" s="3171" t="s">
        <v>2292</v>
      </c>
      <c r="B163" s="3044"/>
      <c r="C163" s="3045"/>
      <c r="D163" s="3045">
        <f>PLATI!D163</f>
        <v>0</v>
      </c>
      <c r="E163" s="3047">
        <f t="shared" si="28"/>
        <v>0</v>
      </c>
    </row>
    <row r="164" spans="1:5" ht="24">
      <c r="A164" s="3172" t="s">
        <v>2123</v>
      </c>
      <c r="B164" s="3044"/>
      <c r="C164" s="3058">
        <f t="shared" ref="C164" si="44">C165+C166</f>
        <v>0</v>
      </c>
      <c r="D164" s="3058">
        <f>PLATI!D164</f>
        <v>0</v>
      </c>
      <c r="E164" s="3126">
        <f t="shared" si="28"/>
        <v>0</v>
      </c>
    </row>
    <row r="165" spans="1:5" ht="18" customHeight="1">
      <c r="A165" s="3173" t="s">
        <v>2454</v>
      </c>
      <c r="B165" s="3044"/>
      <c r="C165" s="3045"/>
      <c r="D165" s="3045">
        <f>PLATI!D165</f>
        <v>0</v>
      </c>
      <c r="E165" s="3047">
        <f t="shared" si="28"/>
        <v>0</v>
      </c>
    </row>
    <row r="166" spans="1:5" ht="84">
      <c r="A166" s="3376" t="s">
        <v>2452</v>
      </c>
      <c r="B166" s="3187"/>
      <c r="C166" s="3197"/>
      <c r="D166" s="3197">
        <f>PLATI!D166</f>
        <v>0</v>
      </c>
      <c r="E166" s="3200">
        <f t="shared" si="28"/>
        <v>0</v>
      </c>
    </row>
    <row r="167" spans="1:5" s="3389" customFormat="1" ht="25.5">
      <c r="A167" s="3815" t="s">
        <v>832</v>
      </c>
      <c r="B167" s="3816" t="s">
        <v>833</v>
      </c>
      <c r="C167" s="3826">
        <f t="shared" ref="C167" si="45">+C169+C172+C175+C178+C181+C182+C183+C186+C187+C188</f>
        <v>1320180</v>
      </c>
      <c r="D167" s="3826">
        <f>PLATI!D167</f>
        <v>0</v>
      </c>
      <c r="E167" s="3827">
        <f t="shared" si="28"/>
        <v>1320180</v>
      </c>
    </row>
    <row r="168" spans="1:5" s="3389" customFormat="1" ht="18" hidden="1" customHeight="1">
      <c r="A168" s="3401" t="s">
        <v>1539</v>
      </c>
      <c r="B168" s="3397"/>
      <c r="C168" s="3402"/>
      <c r="D168" s="3402">
        <f>PLATI!D168</f>
        <v>0</v>
      </c>
      <c r="E168" s="3403">
        <f t="shared" si="28"/>
        <v>0</v>
      </c>
    </row>
    <row r="169" spans="1:5" ht="18" customHeight="1">
      <c r="A169" s="3159" t="s">
        <v>1544</v>
      </c>
      <c r="B169" s="3044"/>
      <c r="C169" s="3058">
        <f t="shared" ref="C169" si="46">C170+C171</f>
        <v>1057320</v>
      </c>
      <c r="D169" s="3058">
        <f>PLATI!D169</f>
        <v>0</v>
      </c>
      <c r="E169" s="3126">
        <f t="shared" si="28"/>
        <v>1057320</v>
      </c>
    </row>
    <row r="170" spans="1:5" ht="18" customHeight="1">
      <c r="A170" s="3159" t="s">
        <v>2454</v>
      </c>
      <c r="B170" s="3044"/>
      <c r="C170" s="3045">
        <v>1057320</v>
      </c>
      <c r="D170" s="3045">
        <f>PLATI!D170</f>
        <v>0</v>
      </c>
      <c r="E170" s="3047">
        <f t="shared" si="28"/>
        <v>1057320</v>
      </c>
    </row>
    <row r="171" spans="1:5" ht="102">
      <c r="A171" s="3159" t="s">
        <v>2452</v>
      </c>
      <c r="B171" s="3044"/>
      <c r="C171" s="3045"/>
      <c r="D171" s="3045">
        <f>PLATI!D171</f>
        <v>0</v>
      </c>
      <c r="E171" s="3047">
        <f t="shared" si="28"/>
        <v>0</v>
      </c>
    </row>
    <row r="172" spans="1:5" ht="84" customHeight="1">
      <c r="A172" s="3159" t="s">
        <v>2056</v>
      </c>
      <c r="B172" s="3044"/>
      <c r="C172" s="3058">
        <f t="shared" ref="C172" si="47">C173+C174</f>
        <v>88530</v>
      </c>
      <c r="D172" s="3058">
        <f>PLATI!D172</f>
        <v>0</v>
      </c>
      <c r="E172" s="3126">
        <f t="shared" si="28"/>
        <v>88530</v>
      </c>
    </row>
    <row r="173" spans="1:5" ht="21" customHeight="1">
      <c r="A173" s="3159" t="s">
        <v>2454</v>
      </c>
      <c r="B173" s="3044"/>
      <c r="C173" s="3045">
        <v>88530</v>
      </c>
      <c r="D173" s="3045">
        <f>PLATI!D173</f>
        <v>0</v>
      </c>
      <c r="E173" s="3047">
        <f t="shared" si="28"/>
        <v>88530</v>
      </c>
    </row>
    <row r="174" spans="1:5" ht="102">
      <c r="A174" s="3159" t="s">
        <v>2452</v>
      </c>
      <c r="B174" s="3044"/>
      <c r="C174" s="3045"/>
      <c r="D174" s="3045">
        <f>PLATI!D174</f>
        <v>0</v>
      </c>
      <c r="E174" s="3047">
        <f t="shared" si="28"/>
        <v>0</v>
      </c>
    </row>
    <row r="175" spans="1:5" ht="18" customHeight="1">
      <c r="A175" s="3159" t="s">
        <v>1551</v>
      </c>
      <c r="B175" s="3044"/>
      <c r="C175" s="3058">
        <f t="shared" ref="C175" si="48">C176+C177</f>
        <v>174330</v>
      </c>
      <c r="D175" s="3058">
        <f>PLATI!D175</f>
        <v>0</v>
      </c>
      <c r="E175" s="3126">
        <f t="shared" si="28"/>
        <v>174330</v>
      </c>
    </row>
    <row r="176" spans="1:5" ht="18" customHeight="1">
      <c r="A176" s="3159" t="s">
        <v>2454</v>
      </c>
      <c r="B176" s="3044"/>
      <c r="C176" s="3197">
        <v>174330</v>
      </c>
      <c r="D176" s="3045">
        <f>PLATI!D176</f>
        <v>0</v>
      </c>
      <c r="E176" s="3047">
        <f t="shared" si="28"/>
        <v>174330</v>
      </c>
    </row>
    <row r="177" spans="1:5" ht="102">
      <c r="A177" s="3159" t="s">
        <v>2452</v>
      </c>
      <c r="B177" s="3044"/>
      <c r="C177" s="3045"/>
      <c r="D177" s="3045">
        <f>PLATI!D177</f>
        <v>0</v>
      </c>
      <c r="E177" s="3047">
        <f t="shared" si="28"/>
        <v>0</v>
      </c>
    </row>
    <row r="178" spans="1:5" ht="25.5">
      <c r="A178" s="3159" t="s">
        <v>1552</v>
      </c>
      <c r="B178" s="3044"/>
      <c r="C178" s="3058">
        <f>C179+C180</f>
        <v>0</v>
      </c>
      <c r="D178" s="3058">
        <f>PLATI!D178</f>
        <v>0</v>
      </c>
      <c r="E178" s="3126">
        <f t="shared" ref="E178:E243" si="49">C178+D178</f>
        <v>0</v>
      </c>
    </row>
    <row r="179" spans="1:5" ht="14.25">
      <c r="A179" s="3159" t="s">
        <v>2454</v>
      </c>
      <c r="B179" s="3044"/>
      <c r="C179" s="3045"/>
      <c r="D179" s="3058">
        <f>PLATI!D179</f>
        <v>0</v>
      </c>
      <c r="E179" s="3126">
        <f t="shared" si="49"/>
        <v>0</v>
      </c>
    </row>
    <row r="180" spans="1:5" ht="102">
      <c r="A180" s="3159" t="s">
        <v>2452</v>
      </c>
      <c r="B180" s="3044"/>
      <c r="C180" s="3045"/>
      <c r="D180" s="3058">
        <f>PLATI!D180</f>
        <v>0</v>
      </c>
      <c r="E180" s="3126">
        <f t="shared" si="49"/>
        <v>0</v>
      </c>
    </row>
    <row r="181" spans="1:5" ht="25.5">
      <c r="A181" s="3159" t="s">
        <v>1553</v>
      </c>
      <c r="B181" s="3044"/>
      <c r="C181" s="3045"/>
      <c r="D181" s="3045">
        <f>PLATI!D181</f>
        <v>0</v>
      </c>
      <c r="E181" s="3047">
        <f t="shared" si="49"/>
        <v>0</v>
      </c>
    </row>
    <row r="182" spans="1:5" ht="25.5">
      <c r="A182" s="3159" t="s">
        <v>1554</v>
      </c>
      <c r="B182" s="3044"/>
      <c r="C182" s="3045"/>
      <c r="D182" s="3045">
        <f>PLATI!D182</f>
        <v>0</v>
      </c>
      <c r="E182" s="3047">
        <f t="shared" si="49"/>
        <v>0</v>
      </c>
    </row>
    <row r="183" spans="1:5" ht="25.5">
      <c r="A183" s="3159" t="s">
        <v>1555</v>
      </c>
      <c r="B183" s="3044"/>
      <c r="C183" s="3058">
        <f t="shared" ref="C183" si="50">C184+C185</f>
        <v>0</v>
      </c>
      <c r="D183" s="3058">
        <f>PLATI!D183</f>
        <v>0</v>
      </c>
      <c r="E183" s="3126">
        <f t="shared" si="49"/>
        <v>0</v>
      </c>
    </row>
    <row r="184" spans="1:5" ht="18" customHeight="1">
      <c r="A184" s="3209" t="s">
        <v>2454</v>
      </c>
      <c r="B184" s="3187"/>
      <c r="C184" s="3197"/>
      <c r="D184" s="3197">
        <f>PLATI!D184</f>
        <v>0</v>
      </c>
      <c r="E184" s="3200">
        <f t="shared" si="49"/>
        <v>0</v>
      </c>
    </row>
    <row r="185" spans="1:5" ht="102">
      <c r="A185" s="3897" t="s">
        <v>2452</v>
      </c>
      <c r="B185" s="2719"/>
      <c r="C185" s="2720"/>
      <c r="D185" s="2720">
        <f>PLATI!D185</f>
        <v>0</v>
      </c>
      <c r="E185" s="2724">
        <f t="shared" si="49"/>
        <v>0</v>
      </c>
    </row>
    <row r="186" spans="1:5" ht="51">
      <c r="A186" s="3159" t="s">
        <v>2568</v>
      </c>
      <c r="B186" s="3044"/>
      <c r="C186" s="3045"/>
      <c r="D186" s="3045">
        <f>PLATI!D186</f>
        <v>0</v>
      </c>
      <c r="E186" s="3047">
        <f t="shared" si="49"/>
        <v>0</v>
      </c>
    </row>
    <row r="187" spans="1:5" ht="38.25">
      <c r="A187" s="3159" t="s">
        <v>1557</v>
      </c>
      <c r="B187" s="3044"/>
      <c r="C187" s="3045"/>
      <c r="D187" s="3045">
        <f>PLATI!D187</f>
        <v>0</v>
      </c>
      <c r="E187" s="3047">
        <f t="shared" si="49"/>
        <v>0</v>
      </c>
    </row>
    <row r="188" spans="1:5" s="3389" customFormat="1" ht="38.25">
      <c r="A188" s="3404" t="s">
        <v>1558</v>
      </c>
      <c r="B188" s="3125"/>
      <c r="C188" s="3113">
        <f t="shared" ref="C188" si="51">ROUND(+C189+C192+C193+C196,1)</f>
        <v>0</v>
      </c>
      <c r="D188" s="3113">
        <f>PLATI!D188</f>
        <v>0</v>
      </c>
      <c r="E188" s="3114">
        <f t="shared" si="49"/>
        <v>0</v>
      </c>
    </row>
    <row r="189" spans="1:5" ht="25.5">
      <c r="A189" s="3159" t="s">
        <v>1264</v>
      </c>
      <c r="B189" s="3044"/>
      <c r="C189" s="3058">
        <f t="shared" ref="C189" si="52">C190+C191</f>
        <v>0</v>
      </c>
      <c r="D189" s="3058">
        <f>PLATI!D189</f>
        <v>0</v>
      </c>
      <c r="E189" s="3126">
        <f t="shared" si="49"/>
        <v>0</v>
      </c>
    </row>
    <row r="190" spans="1:5" ht="18" customHeight="1">
      <c r="A190" s="3159" t="s">
        <v>2454</v>
      </c>
      <c r="B190" s="3044"/>
      <c r="C190" s="3045"/>
      <c r="D190" s="3045">
        <f>PLATI!D190</f>
        <v>0</v>
      </c>
      <c r="E190" s="3047">
        <f t="shared" si="49"/>
        <v>0</v>
      </c>
    </row>
    <row r="191" spans="1:5" ht="102">
      <c r="A191" s="3159" t="s">
        <v>2452</v>
      </c>
      <c r="B191" s="3044"/>
      <c r="C191" s="3045"/>
      <c r="D191" s="3045">
        <f>PLATI!D191</f>
        <v>0</v>
      </c>
      <c r="E191" s="3047">
        <f t="shared" si="49"/>
        <v>0</v>
      </c>
    </row>
    <row r="192" spans="1:5" ht="38.25">
      <c r="A192" s="3159" t="s">
        <v>1559</v>
      </c>
      <c r="B192" s="3044"/>
      <c r="C192" s="3045"/>
      <c r="D192" s="3045">
        <f>PLATI!D192</f>
        <v>0</v>
      </c>
      <c r="E192" s="3047">
        <f t="shared" si="49"/>
        <v>0</v>
      </c>
    </row>
    <row r="193" spans="1:5" ht="38.25">
      <c r="A193" s="3159" t="s">
        <v>1266</v>
      </c>
      <c r="B193" s="3044"/>
      <c r="C193" s="3058">
        <f t="shared" ref="C193" si="53">C194+C195</f>
        <v>0</v>
      </c>
      <c r="D193" s="3058">
        <f>PLATI!D193</f>
        <v>0</v>
      </c>
      <c r="E193" s="3126">
        <f t="shared" si="49"/>
        <v>0</v>
      </c>
    </row>
    <row r="194" spans="1:5" ht="18" customHeight="1">
      <c r="A194" s="3159" t="s">
        <v>2454</v>
      </c>
      <c r="B194" s="3044"/>
      <c r="C194" s="3045"/>
      <c r="D194" s="3045">
        <f>PLATI!D194</f>
        <v>0</v>
      </c>
      <c r="E194" s="3047">
        <f t="shared" si="49"/>
        <v>0</v>
      </c>
    </row>
    <row r="195" spans="1:5" ht="102">
      <c r="A195" s="3159" t="s">
        <v>2452</v>
      </c>
      <c r="B195" s="3044"/>
      <c r="C195" s="3045"/>
      <c r="D195" s="3045">
        <f>PLATI!D195</f>
        <v>0</v>
      </c>
      <c r="E195" s="3047">
        <f t="shared" si="49"/>
        <v>0</v>
      </c>
    </row>
    <row r="196" spans="1:5" ht="38.25">
      <c r="A196" s="3159" t="s">
        <v>1267</v>
      </c>
      <c r="B196" s="3044"/>
      <c r="C196" s="3045"/>
      <c r="D196" s="3045">
        <f>PLATI!D196</f>
        <v>0</v>
      </c>
      <c r="E196" s="3047">
        <f t="shared" si="49"/>
        <v>0</v>
      </c>
    </row>
    <row r="197" spans="1:5" s="3389" customFormat="1" ht="25.5">
      <c r="A197" s="3124" t="s">
        <v>834</v>
      </c>
      <c r="B197" s="3125" t="s">
        <v>835</v>
      </c>
      <c r="C197" s="3113">
        <f>C198+C199</f>
        <v>14805730</v>
      </c>
      <c r="D197" s="3113">
        <f>PLATI!D197</f>
        <v>0</v>
      </c>
      <c r="E197" s="3114">
        <f t="shared" si="49"/>
        <v>14805730</v>
      </c>
    </row>
    <row r="198" spans="1:5" ht="18" customHeight="1">
      <c r="A198" s="3159" t="s">
        <v>2454</v>
      </c>
      <c r="B198" s="3052"/>
      <c r="C198" s="3053">
        <v>14805730</v>
      </c>
      <c r="D198" s="3053">
        <f>PLATI!D198</f>
        <v>0</v>
      </c>
      <c r="E198" s="3055">
        <f t="shared" si="49"/>
        <v>14805730</v>
      </c>
    </row>
    <row r="199" spans="1:5" ht="102">
      <c r="A199" s="3159" t="s">
        <v>2452</v>
      </c>
      <c r="B199" s="3052"/>
      <c r="C199" s="3053"/>
      <c r="D199" s="3053">
        <f>PLATI!D199</f>
        <v>0</v>
      </c>
      <c r="E199" s="3055">
        <f t="shared" si="49"/>
        <v>0</v>
      </c>
    </row>
    <row r="200" spans="1:5" s="3389" customFormat="1" ht="18" customHeight="1">
      <c r="A200" s="3124" t="s">
        <v>836</v>
      </c>
      <c r="B200" s="3125" t="s">
        <v>837</v>
      </c>
      <c r="C200" s="3113">
        <f t="shared" ref="C200" si="54">C201+C202</f>
        <v>3716000</v>
      </c>
      <c r="D200" s="3113">
        <f>PLATI!D200</f>
        <v>0</v>
      </c>
      <c r="E200" s="3114">
        <f t="shared" si="49"/>
        <v>3716000</v>
      </c>
    </row>
    <row r="201" spans="1:5" ht="18" customHeight="1">
      <c r="A201" s="3209" t="s">
        <v>2454</v>
      </c>
      <c r="B201" s="3845"/>
      <c r="C201" s="3053">
        <v>3716000</v>
      </c>
      <c r="D201" s="3203">
        <f>PLATI!D201</f>
        <v>0</v>
      </c>
      <c r="E201" s="3204">
        <f t="shared" si="49"/>
        <v>3716000</v>
      </c>
    </row>
    <row r="202" spans="1:5" ht="102">
      <c r="A202" s="3897" t="s">
        <v>2452</v>
      </c>
      <c r="B202" s="2729"/>
      <c r="C202" s="3206"/>
      <c r="D202" s="3206">
        <f>PLATI!D202</f>
        <v>0</v>
      </c>
      <c r="E202" s="3208">
        <f t="shared" si="49"/>
        <v>0</v>
      </c>
    </row>
    <row r="203" spans="1:5" s="3389" customFormat="1" ht="18" customHeight="1">
      <c r="A203" s="3396" t="s">
        <v>838</v>
      </c>
      <c r="B203" s="3397" t="s">
        <v>839</v>
      </c>
      <c r="C203" s="3113">
        <f t="shared" ref="C203" si="55">ROUND(+C204+C212+C218+C222+C236,1)</f>
        <v>84597510</v>
      </c>
      <c r="D203" s="3113">
        <f>PLATI!D203</f>
        <v>-8736</v>
      </c>
      <c r="E203" s="3114">
        <f t="shared" si="49"/>
        <v>84588774</v>
      </c>
    </row>
    <row r="204" spans="1:5" s="3389" customFormat="1" ht="18" customHeight="1">
      <c r="A204" s="3124" t="s">
        <v>1597</v>
      </c>
      <c r="B204" s="3125" t="s">
        <v>841</v>
      </c>
      <c r="C204" s="3113">
        <f t="shared" ref="C204" si="56">+C205+C206+C207+C209+C208+C210+C211</f>
        <v>50066840</v>
      </c>
      <c r="D204" s="3113">
        <f>PLATI!D204</f>
        <v>-321</v>
      </c>
      <c r="E204" s="3114">
        <f t="shared" si="49"/>
        <v>50066519</v>
      </c>
    </row>
    <row r="205" spans="1:5" ht="18" customHeight="1">
      <c r="A205" s="3159" t="s">
        <v>1539</v>
      </c>
      <c r="B205" s="3044"/>
      <c r="C205" s="3045">
        <v>46838840</v>
      </c>
      <c r="D205" s="3045">
        <f>PLATI!D205</f>
        <v>-321</v>
      </c>
      <c r="E205" s="3047">
        <f t="shared" si="49"/>
        <v>46838519</v>
      </c>
    </row>
    <row r="206" spans="1:5" ht="18" customHeight="1">
      <c r="A206" s="3159" t="s">
        <v>1560</v>
      </c>
      <c r="B206" s="3044"/>
      <c r="C206" s="3045">
        <v>2735000</v>
      </c>
      <c r="D206" s="3045">
        <f>PLATI!D206</f>
        <v>0</v>
      </c>
      <c r="E206" s="3047">
        <f t="shared" si="49"/>
        <v>2735000</v>
      </c>
    </row>
    <row r="207" spans="1:5" ht="51">
      <c r="A207" s="3159" t="s">
        <v>2206</v>
      </c>
      <c r="B207" s="3044"/>
      <c r="C207" s="3045">
        <v>135000</v>
      </c>
      <c r="D207" s="3045">
        <f>PLATI!D207</f>
        <v>0</v>
      </c>
      <c r="E207" s="3047">
        <f t="shared" si="49"/>
        <v>135000</v>
      </c>
    </row>
    <row r="208" spans="1:5" ht="51" hidden="1">
      <c r="A208" s="3159" t="s">
        <v>2417</v>
      </c>
      <c r="B208" s="3044"/>
      <c r="C208" s="3045"/>
      <c r="D208" s="3045">
        <f>PLATI!D208</f>
        <v>0</v>
      </c>
      <c r="E208" s="3047">
        <f t="shared" si="49"/>
        <v>0</v>
      </c>
    </row>
    <row r="209" spans="1:5" ht="60">
      <c r="A209" s="3173" t="s">
        <v>2418</v>
      </c>
      <c r="B209" s="3044"/>
      <c r="C209" s="3045">
        <v>319000</v>
      </c>
      <c r="D209" s="3045">
        <f>PLATI!D209</f>
        <v>0</v>
      </c>
      <c r="E209" s="3047">
        <f t="shared" si="49"/>
        <v>319000</v>
      </c>
    </row>
    <row r="210" spans="1:5" ht="102">
      <c r="A210" s="3159" t="s">
        <v>2452</v>
      </c>
      <c r="B210" s="3044"/>
      <c r="C210" s="3045"/>
      <c r="D210" s="3045">
        <f>PLATI!D210</f>
        <v>0</v>
      </c>
      <c r="E210" s="3047">
        <f t="shared" si="49"/>
        <v>0</v>
      </c>
    </row>
    <row r="211" spans="1:5" ht="76.5">
      <c r="A211" s="3159" t="s">
        <v>2569</v>
      </c>
      <c r="B211" s="3044"/>
      <c r="C211" s="3045">
        <v>39000</v>
      </c>
      <c r="D211" s="3045">
        <f>PLATI!D211</f>
        <v>0</v>
      </c>
      <c r="E211" s="3047">
        <f t="shared" si="49"/>
        <v>39000</v>
      </c>
    </row>
    <row r="212" spans="1:5" s="3389" customFormat="1" ht="25.5">
      <c r="A212" s="3124" t="s">
        <v>842</v>
      </c>
      <c r="B212" s="3125" t="s">
        <v>843</v>
      </c>
      <c r="C212" s="3113">
        <f t="shared" ref="C212" si="57">C213+C214+C215+C216+C217</f>
        <v>21049000</v>
      </c>
      <c r="D212" s="3113">
        <f>PLATI!D212</f>
        <v>-5575</v>
      </c>
      <c r="E212" s="3114">
        <f t="shared" si="49"/>
        <v>21043425</v>
      </c>
    </row>
    <row r="213" spans="1:5" ht="18" customHeight="1">
      <c r="A213" s="3176" t="s">
        <v>1539</v>
      </c>
      <c r="B213" s="3052"/>
      <c r="C213" s="3053">
        <v>21049000</v>
      </c>
      <c r="D213" s="3053">
        <f>PLATI!D213</f>
        <v>-5575</v>
      </c>
      <c r="E213" s="3055">
        <f t="shared" si="49"/>
        <v>21043425</v>
      </c>
    </row>
    <row r="214" spans="1:5" ht="48">
      <c r="A214" s="3177" t="s">
        <v>2294</v>
      </c>
      <c r="B214" s="3052"/>
      <c r="C214" s="3053"/>
      <c r="D214" s="3053">
        <f>PLATI!D214</f>
        <v>0</v>
      </c>
      <c r="E214" s="3055">
        <f t="shared" si="49"/>
        <v>0</v>
      </c>
    </row>
    <row r="215" spans="1:5" ht="78.75">
      <c r="A215" s="3405" t="s">
        <v>2328</v>
      </c>
      <c r="B215" s="3052"/>
      <c r="C215" s="3053"/>
      <c r="D215" s="3053">
        <f>PLATI!D215</f>
        <v>0</v>
      </c>
      <c r="E215" s="3055">
        <f t="shared" si="49"/>
        <v>0</v>
      </c>
    </row>
    <row r="216" spans="1:5" ht="102">
      <c r="A216" s="3159" t="s">
        <v>2452</v>
      </c>
      <c r="B216" s="3052"/>
      <c r="C216" s="3053"/>
      <c r="D216" s="3053">
        <f>PLATI!D216</f>
        <v>0</v>
      </c>
      <c r="E216" s="3055">
        <f t="shared" si="49"/>
        <v>0</v>
      </c>
    </row>
    <row r="217" spans="1:5" ht="38.25">
      <c r="A217" s="3159" t="s">
        <v>2570</v>
      </c>
      <c r="B217" s="3052"/>
      <c r="C217" s="3053"/>
      <c r="D217" s="3053">
        <f>PLATI!D217</f>
        <v>0</v>
      </c>
      <c r="E217" s="3055">
        <f t="shared" si="49"/>
        <v>0</v>
      </c>
    </row>
    <row r="218" spans="1:5" s="3389" customFormat="1" ht="18" customHeight="1">
      <c r="A218" s="3124" t="s">
        <v>844</v>
      </c>
      <c r="B218" s="3125" t="s">
        <v>845</v>
      </c>
      <c r="C218" s="3113">
        <f t="shared" ref="C218" si="58">C219+C220+C221</f>
        <v>1463840</v>
      </c>
      <c r="D218" s="3113">
        <f>PLATI!D218</f>
        <v>-468</v>
      </c>
      <c r="E218" s="3114">
        <f t="shared" si="49"/>
        <v>1463372</v>
      </c>
    </row>
    <row r="219" spans="1:5" ht="18" customHeight="1">
      <c r="A219" s="3159" t="s">
        <v>1539</v>
      </c>
      <c r="B219" s="3044"/>
      <c r="C219" s="3045">
        <v>1463840</v>
      </c>
      <c r="D219" s="3045">
        <f>PLATI!D219</f>
        <v>-468</v>
      </c>
      <c r="E219" s="3047">
        <f t="shared" si="49"/>
        <v>1463372</v>
      </c>
    </row>
    <row r="220" spans="1:5" ht="18" customHeight="1">
      <c r="A220" s="3159" t="s">
        <v>1540</v>
      </c>
      <c r="B220" s="3044"/>
      <c r="C220" s="3045"/>
      <c r="D220" s="3045">
        <f>PLATI!D220</f>
        <v>0</v>
      </c>
      <c r="E220" s="3047">
        <f t="shared" si="49"/>
        <v>0</v>
      </c>
    </row>
    <row r="221" spans="1:5" ht="102">
      <c r="A221" s="3159" t="s">
        <v>2452</v>
      </c>
      <c r="B221" s="3044"/>
      <c r="C221" s="3045"/>
      <c r="D221" s="3045">
        <f>PLATI!D221</f>
        <v>0</v>
      </c>
      <c r="E221" s="3047">
        <f t="shared" si="49"/>
        <v>0</v>
      </c>
    </row>
    <row r="222" spans="1:5" s="3389" customFormat="1" ht="25.5">
      <c r="A222" s="3124" t="s">
        <v>2267</v>
      </c>
      <c r="B222" s="3125" t="s">
        <v>847</v>
      </c>
      <c r="C222" s="3113">
        <f t="shared" ref="C222" si="59">C223+C225+C234+C224</f>
        <v>10614430</v>
      </c>
      <c r="D222" s="3113">
        <f>PLATI!D222</f>
        <v>-1916</v>
      </c>
      <c r="E222" s="3114">
        <f t="shared" si="49"/>
        <v>10612514</v>
      </c>
    </row>
    <row r="223" spans="1:5" ht="18" customHeight="1">
      <c r="A223" s="3159" t="s">
        <v>1539</v>
      </c>
      <c r="B223" s="3044"/>
      <c r="C223" s="3045">
        <v>10614430</v>
      </c>
      <c r="D223" s="3045">
        <f>PLATI!D223</f>
        <v>-1916</v>
      </c>
      <c r="E223" s="3047">
        <f t="shared" si="49"/>
        <v>10612514</v>
      </c>
    </row>
    <row r="224" spans="1:5" ht="102">
      <c r="A224" s="3159" t="s">
        <v>2452</v>
      </c>
      <c r="B224" s="3044"/>
      <c r="C224" s="3045"/>
      <c r="D224" s="3045">
        <f>PLATI!D224</f>
        <v>0</v>
      </c>
      <c r="E224" s="3047">
        <f t="shared" si="49"/>
        <v>0</v>
      </c>
    </row>
    <row r="225" spans="1:5" ht="25.5">
      <c r="A225" s="3178" t="s">
        <v>2295</v>
      </c>
      <c r="B225" s="3163"/>
      <c r="C225" s="3164">
        <f t="shared" ref="C225" si="60">C226+C230+C233+C227+C235</f>
        <v>0</v>
      </c>
      <c r="D225" s="3164">
        <f>PLATI!D225</f>
        <v>0</v>
      </c>
      <c r="E225" s="3165">
        <f t="shared" si="49"/>
        <v>0</v>
      </c>
    </row>
    <row r="226" spans="1:5" ht="36">
      <c r="A226" s="3173" t="s">
        <v>1561</v>
      </c>
      <c r="B226" s="3044"/>
      <c r="C226" s="3045"/>
      <c r="D226" s="3045">
        <f>PLATI!D226</f>
        <v>0</v>
      </c>
      <c r="E226" s="3047">
        <f t="shared" si="49"/>
        <v>0</v>
      </c>
    </row>
    <row r="227" spans="1:5" ht="18" customHeight="1">
      <c r="A227" s="3173" t="s">
        <v>2419</v>
      </c>
      <c r="B227" s="3044"/>
      <c r="C227" s="3058">
        <f t="shared" ref="C227" si="61">C228+C229</f>
        <v>0</v>
      </c>
      <c r="D227" s="3058">
        <f>PLATI!D227</f>
        <v>0</v>
      </c>
      <c r="E227" s="3126">
        <f t="shared" si="49"/>
        <v>0</v>
      </c>
    </row>
    <row r="228" spans="1:5" ht="18" customHeight="1">
      <c r="A228" s="3159" t="s">
        <v>2454</v>
      </c>
      <c r="B228" s="3044"/>
      <c r="C228" s="3045"/>
      <c r="D228" s="3045">
        <f>PLATI!D228</f>
        <v>0</v>
      </c>
      <c r="E228" s="3047">
        <f t="shared" si="49"/>
        <v>0</v>
      </c>
    </row>
    <row r="229" spans="1:5" ht="102">
      <c r="A229" s="3159" t="s">
        <v>2452</v>
      </c>
      <c r="B229" s="3044"/>
      <c r="C229" s="3045"/>
      <c r="D229" s="3045">
        <f>PLATI!D229</f>
        <v>0</v>
      </c>
      <c r="E229" s="3047">
        <f t="shared" si="49"/>
        <v>0</v>
      </c>
    </row>
    <row r="230" spans="1:5" ht="36">
      <c r="A230" s="3173" t="s">
        <v>1796</v>
      </c>
      <c r="B230" s="3044"/>
      <c r="C230" s="3058">
        <f t="shared" ref="C230" si="62">+C231+C232</f>
        <v>0</v>
      </c>
      <c r="D230" s="3058">
        <f>PLATI!D230</f>
        <v>0</v>
      </c>
      <c r="E230" s="3126">
        <f t="shared" si="49"/>
        <v>0</v>
      </c>
    </row>
    <row r="231" spans="1:5" ht="18" customHeight="1">
      <c r="A231" s="3159" t="s">
        <v>2454</v>
      </c>
      <c r="B231" s="3044"/>
      <c r="C231" s="3045"/>
      <c r="D231" s="3045">
        <f>PLATI!D231</f>
        <v>0</v>
      </c>
      <c r="E231" s="3047">
        <f t="shared" si="49"/>
        <v>0</v>
      </c>
    </row>
    <row r="232" spans="1:5" ht="102">
      <c r="A232" s="3159" t="s">
        <v>2452</v>
      </c>
      <c r="B232" s="3044"/>
      <c r="C232" s="3045"/>
      <c r="D232" s="3045">
        <f>PLATI!D232</f>
        <v>0</v>
      </c>
      <c r="E232" s="3047">
        <f t="shared" si="49"/>
        <v>0</v>
      </c>
    </row>
    <row r="233" spans="1:5" ht="36">
      <c r="A233" s="3173" t="s">
        <v>1565</v>
      </c>
      <c r="B233" s="3044"/>
      <c r="C233" s="3045"/>
      <c r="D233" s="3045">
        <f>PLATI!D233</f>
        <v>0</v>
      </c>
      <c r="E233" s="3047">
        <f t="shared" si="49"/>
        <v>0</v>
      </c>
    </row>
    <row r="234" spans="1:5" ht="48">
      <c r="A234" s="3173" t="s">
        <v>2294</v>
      </c>
      <c r="B234" s="3044"/>
      <c r="C234" s="3045"/>
      <c r="D234" s="3045">
        <f>PLATI!D234</f>
        <v>0</v>
      </c>
      <c r="E234" s="3047">
        <f t="shared" si="49"/>
        <v>0</v>
      </c>
    </row>
    <row r="235" spans="1:5" ht="25.5">
      <c r="A235" s="3159" t="s">
        <v>2571</v>
      </c>
      <c r="B235" s="3044"/>
      <c r="C235" s="3045"/>
      <c r="D235" s="3045">
        <f>PLATI!D235</f>
        <v>0</v>
      </c>
      <c r="E235" s="3047">
        <f t="shared" si="49"/>
        <v>0</v>
      </c>
    </row>
    <row r="236" spans="1:5" s="3389" customFormat="1" ht="38.25">
      <c r="A236" s="3124" t="s">
        <v>1598</v>
      </c>
      <c r="B236" s="3125" t="s">
        <v>849</v>
      </c>
      <c r="C236" s="3113">
        <f t="shared" ref="C236" si="63">+C237+C238+C239+C240</f>
        <v>1403400</v>
      </c>
      <c r="D236" s="3113">
        <f>PLATI!D236</f>
        <v>-456</v>
      </c>
      <c r="E236" s="3114">
        <f t="shared" si="49"/>
        <v>1402944</v>
      </c>
    </row>
    <row r="237" spans="1:5" ht="18" customHeight="1">
      <c r="A237" s="3159" t="s">
        <v>1539</v>
      </c>
      <c r="B237" s="3044"/>
      <c r="C237" s="3045">
        <v>1403400</v>
      </c>
      <c r="D237" s="3045">
        <f>PLATI!D237</f>
        <v>-456</v>
      </c>
      <c r="E237" s="3047">
        <f t="shared" si="49"/>
        <v>1402944</v>
      </c>
    </row>
    <row r="238" spans="1:5" ht="18" customHeight="1">
      <c r="A238" s="3159" t="s">
        <v>1540</v>
      </c>
      <c r="B238" s="3044"/>
      <c r="C238" s="3045"/>
      <c r="D238" s="3045">
        <f>PLATI!D238</f>
        <v>0</v>
      </c>
      <c r="E238" s="3047">
        <f t="shared" si="49"/>
        <v>0</v>
      </c>
    </row>
    <row r="239" spans="1:5" ht="48">
      <c r="A239" s="3898" t="s">
        <v>2294</v>
      </c>
      <c r="B239" s="3205"/>
      <c r="C239" s="3203"/>
      <c r="D239" s="3203">
        <f>PLATI!D239</f>
        <v>0</v>
      </c>
      <c r="E239" s="3204">
        <f t="shared" si="49"/>
        <v>0</v>
      </c>
    </row>
    <row r="240" spans="1:5" ht="102">
      <c r="A240" s="3899" t="s">
        <v>2452</v>
      </c>
      <c r="B240" s="3900"/>
      <c r="C240" s="3901"/>
      <c r="D240" s="3901">
        <f>PLATI!D240</f>
        <v>0</v>
      </c>
      <c r="E240" s="3902">
        <f t="shared" si="49"/>
        <v>0</v>
      </c>
    </row>
    <row r="241" spans="1:5" s="3389" customFormat="1" ht="25.5">
      <c r="A241" s="3396" t="s">
        <v>850</v>
      </c>
      <c r="B241" s="3397" t="s">
        <v>851</v>
      </c>
      <c r="C241" s="3113">
        <f t="shared" ref="C241" si="64">C242+C243</f>
        <v>490310</v>
      </c>
      <c r="D241" s="3113">
        <f>PLATI!D241</f>
        <v>0</v>
      </c>
      <c r="E241" s="3114">
        <f t="shared" si="49"/>
        <v>490310</v>
      </c>
    </row>
    <row r="242" spans="1:5" ht="18" customHeight="1">
      <c r="A242" s="3159" t="s">
        <v>2454</v>
      </c>
      <c r="B242" s="3163"/>
      <c r="C242" s="3053">
        <v>490310</v>
      </c>
      <c r="D242" s="3053">
        <f>PLATI!D242</f>
        <v>0</v>
      </c>
      <c r="E242" s="3055">
        <f t="shared" si="49"/>
        <v>490310</v>
      </c>
    </row>
    <row r="243" spans="1:5" ht="102">
      <c r="A243" s="3159" t="s">
        <v>2452</v>
      </c>
      <c r="B243" s="3163"/>
      <c r="C243" s="3053"/>
      <c r="D243" s="3053">
        <f>PLATI!D243</f>
        <v>0</v>
      </c>
      <c r="E243" s="3055">
        <f t="shared" si="49"/>
        <v>0</v>
      </c>
    </row>
    <row r="244" spans="1:5" s="3389" customFormat="1" ht="25.5">
      <c r="A244" s="3396" t="s">
        <v>852</v>
      </c>
      <c r="B244" s="3397" t="s">
        <v>853</v>
      </c>
      <c r="C244" s="3113">
        <f t="shared" ref="C244" si="65">ROUND(+C245+C262,1)</f>
        <v>81268940</v>
      </c>
      <c r="D244" s="3113">
        <f>PLATI!D244</f>
        <v>-74072</v>
      </c>
      <c r="E244" s="3114">
        <f t="shared" ref="E244:E276" si="66">C244+D244</f>
        <v>81194868</v>
      </c>
    </row>
    <row r="245" spans="1:5" s="3389" customFormat="1" ht="18" customHeight="1">
      <c r="A245" s="3124" t="s">
        <v>2299</v>
      </c>
      <c r="B245" s="3125" t="s">
        <v>855</v>
      </c>
      <c r="C245" s="3113">
        <f t="shared" ref="C245" si="67">C246+C247+C248+C249+C250+C252+C255+C258+C261</f>
        <v>81268940</v>
      </c>
      <c r="D245" s="3113">
        <f>PLATI!D245</f>
        <v>-74072</v>
      </c>
      <c r="E245" s="3114">
        <f t="shared" si="66"/>
        <v>81194868</v>
      </c>
    </row>
    <row r="246" spans="1:5" ht="18" customHeight="1">
      <c r="A246" s="3159" t="s">
        <v>1539</v>
      </c>
      <c r="B246" s="3044"/>
      <c r="C246" s="3045">
        <v>77875590</v>
      </c>
      <c r="D246" s="3045">
        <f>PLATI!D246</f>
        <v>-51663</v>
      </c>
      <c r="E246" s="3047">
        <f t="shared" si="66"/>
        <v>77823927</v>
      </c>
    </row>
    <row r="247" spans="1:5" ht="48">
      <c r="A247" s="3173" t="s">
        <v>2294</v>
      </c>
      <c r="B247" s="3044"/>
      <c r="C247" s="3045"/>
      <c r="D247" s="3045">
        <f>PLATI!D247</f>
        <v>0</v>
      </c>
      <c r="E247" s="3047">
        <f t="shared" si="66"/>
        <v>0</v>
      </c>
    </row>
    <row r="248" spans="1:5" ht="102">
      <c r="A248" s="3159" t="s">
        <v>2452</v>
      </c>
      <c r="B248" s="3044"/>
      <c r="C248" s="3045"/>
      <c r="D248" s="3045">
        <f>PLATI!D248</f>
        <v>0</v>
      </c>
      <c r="E248" s="3047">
        <f t="shared" si="66"/>
        <v>0</v>
      </c>
    </row>
    <row r="249" spans="1:5" ht="51">
      <c r="A249" s="3159" t="s">
        <v>2455</v>
      </c>
      <c r="B249" s="3044"/>
      <c r="C249" s="3045"/>
      <c r="D249" s="3045">
        <f>PLATI!D249</f>
        <v>0</v>
      </c>
      <c r="E249" s="3047">
        <f t="shared" si="66"/>
        <v>0</v>
      </c>
    </row>
    <row r="250" spans="1:5" ht="25.5">
      <c r="A250" s="3159" t="s">
        <v>2481</v>
      </c>
      <c r="B250" s="3044"/>
      <c r="C250" s="3045">
        <v>3393350</v>
      </c>
      <c r="D250" s="3045">
        <f>PLATI!D250</f>
        <v>-22409</v>
      </c>
      <c r="E250" s="3047">
        <f t="shared" si="66"/>
        <v>3370941</v>
      </c>
    </row>
    <row r="251" spans="1:5" ht="25.5">
      <c r="A251" s="3178" t="s">
        <v>2296</v>
      </c>
      <c r="B251" s="3163"/>
      <c r="C251" s="3164">
        <f t="shared" ref="C251" si="68">C252+C255+C258+C261</f>
        <v>0</v>
      </c>
      <c r="D251" s="3164">
        <f>PLATI!D251</f>
        <v>0</v>
      </c>
      <c r="E251" s="3165">
        <f t="shared" si="66"/>
        <v>0</v>
      </c>
    </row>
    <row r="252" spans="1:5" ht="76.5">
      <c r="A252" s="3159" t="s">
        <v>1564</v>
      </c>
      <c r="B252" s="3044"/>
      <c r="C252" s="3058">
        <f t="shared" ref="C252" si="69">C253+C254</f>
        <v>0</v>
      </c>
      <c r="D252" s="3058">
        <f>PLATI!D252</f>
        <v>0</v>
      </c>
      <c r="E252" s="3126">
        <f t="shared" si="66"/>
        <v>0</v>
      </c>
    </row>
    <row r="253" spans="1:5" ht="18" customHeight="1">
      <c r="A253" s="3159" t="s">
        <v>2454</v>
      </c>
      <c r="B253" s="3044"/>
      <c r="C253" s="3045"/>
      <c r="D253" s="3045">
        <f>PLATI!D253</f>
        <v>0</v>
      </c>
      <c r="E253" s="3047">
        <f t="shared" si="66"/>
        <v>0</v>
      </c>
    </row>
    <row r="254" spans="1:5" ht="102">
      <c r="A254" s="3159" t="s">
        <v>2452</v>
      </c>
      <c r="B254" s="3044"/>
      <c r="C254" s="3045"/>
      <c r="D254" s="3045">
        <f>PLATI!D254</f>
        <v>0</v>
      </c>
      <c r="E254" s="3047">
        <f t="shared" si="66"/>
        <v>0</v>
      </c>
    </row>
    <row r="255" spans="1:5" ht="36">
      <c r="A255" s="3181" t="s">
        <v>1797</v>
      </c>
      <c r="B255" s="3062"/>
      <c r="C255" s="3117">
        <f t="shared" ref="C255" si="70">C256+C257</f>
        <v>0</v>
      </c>
      <c r="D255" s="3117">
        <f>PLATI!D255</f>
        <v>0</v>
      </c>
      <c r="E255" s="3161">
        <f t="shared" si="66"/>
        <v>0</v>
      </c>
    </row>
    <row r="256" spans="1:5" ht="18" customHeight="1">
      <c r="A256" s="3376" t="s">
        <v>2454</v>
      </c>
      <c r="B256" s="3205"/>
      <c r="C256" s="3203"/>
      <c r="D256" s="3203">
        <f>PLATI!D256</f>
        <v>0</v>
      </c>
      <c r="E256" s="3204">
        <f t="shared" si="66"/>
        <v>0</v>
      </c>
    </row>
    <row r="257" spans="1:5" ht="84">
      <c r="A257" s="3895" t="s">
        <v>2452</v>
      </c>
      <c r="B257" s="3903"/>
      <c r="C257" s="3206"/>
      <c r="D257" s="3206">
        <f>PLATI!D257</f>
        <v>0</v>
      </c>
      <c r="E257" s="3208">
        <f t="shared" si="66"/>
        <v>0</v>
      </c>
    </row>
    <row r="258" spans="1:5" ht="24">
      <c r="A258" s="3182" t="s">
        <v>1801</v>
      </c>
      <c r="B258" s="3062"/>
      <c r="C258" s="3117">
        <f t="shared" ref="C258" si="71">C259+C260</f>
        <v>0</v>
      </c>
      <c r="D258" s="3117">
        <f>PLATI!D258</f>
        <v>0</v>
      </c>
      <c r="E258" s="3161">
        <f t="shared" si="66"/>
        <v>0</v>
      </c>
    </row>
    <row r="259" spans="1:5" ht="18" customHeight="1">
      <c r="A259" s="3159" t="s">
        <v>2454</v>
      </c>
      <c r="B259" s="3062"/>
      <c r="C259" s="3053"/>
      <c r="D259" s="3053">
        <f>PLATI!D259</f>
        <v>0</v>
      </c>
      <c r="E259" s="3055">
        <f t="shared" si="66"/>
        <v>0</v>
      </c>
    </row>
    <row r="260" spans="1:5" ht="102">
      <c r="A260" s="3159" t="s">
        <v>2452</v>
      </c>
      <c r="B260" s="3062"/>
      <c r="C260" s="3053"/>
      <c r="D260" s="3053">
        <f>PLATI!D260</f>
        <v>0</v>
      </c>
      <c r="E260" s="3055">
        <f t="shared" si="66"/>
        <v>0</v>
      </c>
    </row>
    <row r="261" spans="1:5" ht="18" customHeight="1">
      <c r="A261" s="3159" t="s">
        <v>2572</v>
      </c>
      <c r="B261" s="3062"/>
      <c r="C261" s="3053"/>
      <c r="D261" s="3053">
        <f>PLATI!D261</f>
        <v>0</v>
      </c>
      <c r="E261" s="3055">
        <f t="shared" si="66"/>
        <v>0</v>
      </c>
    </row>
    <row r="262" spans="1:5" s="3389" customFormat="1" ht="25.5">
      <c r="A262" s="3124" t="s">
        <v>1599</v>
      </c>
      <c r="B262" s="3125" t="s">
        <v>857</v>
      </c>
      <c r="C262" s="3113">
        <f t="shared" ref="C262" si="72">C263+C264+C265+C266</f>
        <v>0</v>
      </c>
      <c r="D262" s="3113">
        <f>PLATI!D262</f>
        <v>0</v>
      </c>
      <c r="E262" s="3114">
        <f t="shared" si="66"/>
        <v>0</v>
      </c>
    </row>
    <row r="263" spans="1:5" ht="18" customHeight="1">
      <c r="A263" s="3159" t="s">
        <v>1539</v>
      </c>
      <c r="B263" s="3044"/>
      <c r="C263" s="3045"/>
      <c r="D263" s="3045">
        <f>PLATI!D263</f>
        <v>0</v>
      </c>
      <c r="E263" s="3047">
        <f t="shared" si="66"/>
        <v>0</v>
      </c>
    </row>
    <row r="264" spans="1:5" ht="18" customHeight="1">
      <c r="A264" s="3159" t="s">
        <v>1540</v>
      </c>
      <c r="B264" s="3044"/>
      <c r="C264" s="3045"/>
      <c r="D264" s="3045">
        <f>PLATI!D264</f>
        <v>0</v>
      </c>
      <c r="E264" s="3047">
        <f t="shared" si="66"/>
        <v>0</v>
      </c>
    </row>
    <row r="265" spans="1:5" ht="102">
      <c r="A265" s="3159" t="s">
        <v>2452</v>
      </c>
      <c r="B265" s="3044"/>
      <c r="C265" s="3045"/>
      <c r="D265" s="3045">
        <f>PLATI!D265</f>
        <v>0</v>
      </c>
      <c r="E265" s="3047">
        <f t="shared" si="66"/>
        <v>0</v>
      </c>
    </row>
    <row r="266" spans="1:5" ht="25.5">
      <c r="A266" s="3159" t="s">
        <v>2481</v>
      </c>
      <c r="B266" s="3044"/>
      <c r="C266" s="3045"/>
      <c r="D266" s="3045">
        <f>PLATI!D266</f>
        <v>0</v>
      </c>
      <c r="E266" s="3047">
        <f t="shared" si="66"/>
        <v>0</v>
      </c>
    </row>
    <row r="267" spans="1:5" s="3389" customFormat="1" ht="18" customHeight="1">
      <c r="A267" s="3396" t="s">
        <v>858</v>
      </c>
      <c r="B267" s="3397" t="s">
        <v>859</v>
      </c>
      <c r="C267" s="3212">
        <v>107000</v>
      </c>
      <c r="D267" s="3131">
        <f>PLATI!D267</f>
        <v>0</v>
      </c>
      <c r="E267" s="3184">
        <f t="shared" si="66"/>
        <v>107000</v>
      </c>
    </row>
    <row r="268" spans="1:5" s="3389" customFormat="1" ht="25.5">
      <c r="A268" s="3396" t="s">
        <v>860</v>
      </c>
      <c r="B268" s="3397" t="s">
        <v>861</v>
      </c>
      <c r="C268" s="3090">
        <v>587084</v>
      </c>
      <c r="D268" s="3131">
        <f>PLATI!D268</f>
        <v>-29312</v>
      </c>
      <c r="E268" s="3184">
        <f t="shared" si="66"/>
        <v>557772</v>
      </c>
    </row>
    <row r="269" spans="1:5" s="3389" customFormat="1" ht="25.5">
      <c r="A269" s="3124" t="s">
        <v>1566</v>
      </c>
      <c r="B269" s="3125" t="s">
        <v>1567</v>
      </c>
      <c r="C269" s="3113">
        <f t="shared" ref="C269" si="73">ROUND(C270,1)</f>
        <v>9580511</v>
      </c>
      <c r="D269" s="3113">
        <f>PLATI!D269</f>
        <v>-40534</v>
      </c>
      <c r="E269" s="3114">
        <f t="shared" si="66"/>
        <v>9539977</v>
      </c>
    </row>
    <row r="270" spans="1:5" s="3389" customFormat="1" ht="18" customHeight="1">
      <c r="A270" s="3124" t="s">
        <v>878</v>
      </c>
      <c r="B270" s="3125" t="s">
        <v>879</v>
      </c>
      <c r="C270" s="3113">
        <f t="shared" ref="C270" si="74">ROUND(C275+C277,1)</f>
        <v>9580511</v>
      </c>
      <c r="D270" s="3113">
        <f>PLATI!D270</f>
        <v>-40534</v>
      </c>
      <c r="E270" s="3114">
        <f t="shared" si="66"/>
        <v>9539977</v>
      </c>
    </row>
    <row r="271" spans="1:5" s="3389" customFormat="1" ht="18" customHeight="1">
      <c r="A271" s="3124" t="s">
        <v>1578</v>
      </c>
      <c r="B271" s="3125" t="s">
        <v>1861</v>
      </c>
      <c r="C271" s="3113">
        <f>+C276+C277-C278</f>
        <v>9580511</v>
      </c>
      <c r="D271" s="3113">
        <f>PLATI!D271</f>
        <v>-40534</v>
      </c>
      <c r="E271" s="3114">
        <f t="shared" si="66"/>
        <v>9539977</v>
      </c>
    </row>
    <row r="272" spans="1:5" s="3389" customFormat="1" ht="18" customHeight="1">
      <c r="A272" s="3124" t="s">
        <v>1862</v>
      </c>
      <c r="B272" s="3125" t="s">
        <v>985</v>
      </c>
      <c r="C272" s="3113">
        <f t="shared" ref="C272:C273" si="75">ROUND(C273,1)</f>
        <v>9580511</v>
      </c>
      <c r="D272" s="3113">
        <f>PLATI!D272</f>
        <v>-40534</v>
      </c>
      <c r="E272" s="3114">
        <f t="shared" si="66"/>
        <v>9539977</v>
      </c>
    </row>
    <row r="273" spans="1:5" s="3389" customFormat="1" ht="18" customHeight="1">
      <c r="A273" s="3124" t="s">
        <v>1568</v>
      </c>
      <c r="B273" s="3125" t="s">
        <v>987</v>
      </c>
      <c r="C273" s="3113">
        <f t="shared" si="75"/>
        <v>9580511</v>
      </c>
      <c r="D273" s="3113">
        <f>PLATI!D273</f>
        <v>-40534</v>
      </c>
      <c r="E273" s="3114">
        <f t="shared" si="66"/>
        <v>9539977</v>
      </c>
    </row>
    <row r="274" spans="1:5" s="3389" customFormat="1" ht="18" customHeight="1">
      <c r="A274" s="3124" t="s">
        <v>1569</v>
      </c>
      <c r="B274" s="3125" t="s">
        <v>989</v>
      </c>
      <c r="C274" s="3113">
        <f>ROUND(C275+C277,1)-C278</f>
        <v>9580511</v>
      </c>
      <c r="D274" s="3113">
        <f>PLATI!D274</f>
        <v>-40534</v>
      </c>
      <c r="E274" s="3114">
        <f t="shared" si="66"/>
        <v>9539977</v>
      </c>
    </row>
    <row r="275" spans="1:5" s="3389" customFormat="1" ht="18" customHeight="1">
      <c r="A275" s="3124" t="s">
        <v>880</v>
      </c>
      <c r="B275" s="3125" t="s">
        <v>881</v>
      </c>
      <c r="C275" s="3113">
        <f t="shared" ref="C275" si="76">ROUND(C276,1)</f>
        <v>6582972</v>
      </c>
      <c r="D275" s="3113">
        <f>PLATI!D275</f>
        <v>0</v>
      </c>
      <c r="E275" s="3114">
        <f t="shared" si="66"/>
        <v>6582972</v>
      </c>
    </row>
    <row r="276" spans="1:5" ht="18" customHeight="1">
      <c r="A276" s="3116" t="s">
        <v>882</v>
      </c>
      <c r="B276" s="3044" t="s">
        <v>883</v>
      </c>
      <c r="C276" s="3050">
        <v>6582972</v>
      </c>
      <c r="D276" s="3045">
        <f>PLATI!D276</f>
        <v>0</v>
      </c>
      <c r="E276" s="3047">
        <f t="shared" si="66"/>
        <v>6582972</v>
      </c>
    </row>
    <row r="277" spans="1:5" s="3389" customFormat="1" ht="18" customHeight="1">
      <c r="A277" s="3406" t="s">
        <v>884</v>
      </c>
      <c r="B277" s="3407" t="s">
        <v>885</v>
      </c>
      <c r="C277" s="3099">
        <v>2997539</v>
      </c>
      <c r="D277" s="3408">
        <f>PLATI!D277</f>
        <v>-40534</v>
      </c>
      <c r="E277" s="3409">
        <f>C277+D277</f>
        <v>2957005</v>
      </c>
    </row>
    <row r="278" spans="1:5" s="3389" customFormat="1" ht="24" hidden="1">
      <c r="A278" s="3410" t="s">
        <v>1000</v>
      </c>
      <c r="B278" s="3411" t="s">
        <v>1001</v>
      </c>
      <c r="C278" s="2717"/>
      <c r="D278" s="2717"/>
      <c r="E278" s="2718"/>
    </row>
    <row r="279" spans="1:5" s="3389" customFormat="1" ht="24" hidden="1">
      <c r="A279" s="3154" t="s">
        <v>2424</v>
      </c>
      <c r="B279" s="3153" t="s">
        <v>1002</v>
      </c>
      <c r="C279" s="3113"/>
      <c r="D279" s="3113"/>
      <c r="E279" s="3114"/>
    </row>
    <row r="280" spans="1:5" ht="36" hidden="1">
      <c r="A280" s="3155" t="s">
        <v>1600</v>
      </c>
      <c r="B280" s="3156" t="s">
        <v>1004</v>
      </c>
      <c r="C280" s="3113"/>
      <c r="D280" s="3113"/>
      <c r="E280" s="3114"/>
    </row>
    <row r="281" spans="1:5" ht="36" hidden="1">
      <c r="A281" s="3155" t="s">
        <v>1600</v>
      </c>
      <c r="B281" s="3156" t="s">
        <v>1005</v>
      </c>
      <c r="C281" s="3058"/>
      <c r="D281" s="3058"/>
      <c r="E281" s="3126"/>
    </row>
    <row r="282" spans="1:5" s="3389" customFormat="1" ht="15" hidden="1">
      <c r="A282" s="3124" t="s">
        <v>886</v>
      </c>
      <c r="B282" s="3125" t="s">
        <v>887</v>
      </c>
      <c r="C282" s="3113"/>
      <c r="D282" s="3113"/>
      <c r="E282" s="3114"/>
    </row>
    <row r="283" spans="1:5" s="3389" customFormat="1" ht="15" hidden="1">
      <c r="A283" s="3124" t="s">
        <v>888</v>
      </c>
      <c r="B283" s="3125" t="s">
        <v>889</v>
      </c>
      <c r="C283" s="3113"/>
      <c r="D283" s="3113"/>
      <c r="E283" s="3114"/>
    </row>
    <row r="284" spans="1:5" ht="14.25" hidden="1">
      <c r="A284" s="3185" t="s">
        <v>890</v>
      </c>
      <c r="B284" s="3044" t="s">
        <v>891</v>
      </c>
      <c r="C284" s="3058"/>
      <c r="D284" s="3058"/>
      <c r="E284" s="3126"/>
    </row>
    <row r="285" spans="1:5" ht="14.25" hidden="1">
      <c r="A285" s="3186" t="s">
        <v>892</v>
      </c>
      <c r="B285" s="3187" t="s">
        <v>893</v>
      </c>
      <c r="C285" s="3188"/>
      <c r="D285" s="3188"/>
      <c r="E285" s="3190"/>
    </row>
    <row r="288" spans="1:5">
      <c r="A288" s="4512" t="str">
        <f>'ANEXA 1'!B94</f>
        <v>DIRECTOR  GENERAL,</v>
      </c>
      <c r="B288" s="4513"/>
      <c r="C288" s="4513" t="str">
        <f>'ANEXA 1'!D94</f>
        <v>DIRECTOR  EXECUTIV  ECONOMIC,</v>
      </c>
      <c r="D288" s="4513"/>
      <c r="E288" s="4513"/>
    </row>
    <row r="290" spans="1:5">
      <c r="A290" s="4513" t="str">
        <f>'ANEXA 1'!B96</f>
        <v>EC.ALBU DRINA</v>
      </c>
      <c r="B290" s="4513"/>
      <c r="C290" s="4513" t="str">
        <f>'ANEXA 1'!D96</f>
        <v>EC.BIRCU FLORINA</v>
      </c>
      <c r="D290" s="4513"/>
      <c r="E290" s="4513"/>
    </row>
    <row r="291" spans="1:5">
      <c r="A291" s="4514">
        <f>'ANEXA 1'!B97</f>
        <v>0</v>
      </c>
      <c r="B291" s="4514"/>
    </row>
    <row r="294" spans="1:5">
      <c r="A294" s="4515">
        <f>'ANEXA 1'!B99</f>
        <v>0</v>
      </c>
      <c r="B294" s="4515"/>
      <c r="C294" s="4511">
        <f>'ANEXA 1'!D99</f>
        <v>0</v>
      </c>
      <c r="D294" s="4511"/>
      <c r="E294" s="4511"/>
    </row>
    <row r="296" spans="1:5">
      <c r="A296" s="4511">
        <f>'ANEXA 1'!B101</f>
        <v>0</v>
      </c>
      <c r="B296" s="4511"/>
      <c r="C296" s="4511">
        <f>'ANEXA 1'!D101</f>
        <v>0</v>
      </c>
      <c r="D296" s="4511"/>
      <c r="E296" s="4511"/>
    </row>
  </sheetData>
  <sheetProtection password="CFDD" sheet="1" objects="1" scenarios="1"/>
  <mergeCells count="17">
    <mergeCell ref="A1:E1"/>
    <mergeCell ref="A3:E3"/>
    <mergeCell ref="A4:E4"/>
    <mergeCell ref="A6:A7"/>
    <mergeCell ref="B6:B7"/>
    <mergeCell ref="C6:C7"/>
    <mergeCell ref="D6:D7"/>
    <mergeCell ref="E6:E7"/>
    <mergeCell ref="A296:B296"/>
    <mergeCell ref="C294:E294"/>
    <mergeCell ref="C296:E296"/>
    <mergeCell ref="A288:B288"/>
    <mergeCell ref="C288:E288"/>
    <mergeCell ref="A290:B290"/>
    <mergeCell ref="C290:E290"/>
    <mergeCell ref="A291:B291"/>
    <mergeCell ref="A294:B294"/>
  </mergeCells>
  <pageMargins left="0.70866141732283472" right="0.70866141732283472" top="0.74803149606299213" bottom="0.74803149606299213" header="0.31496062992125984" footer="0.31496062992125984"/>
  <pageSetup paperSize="9" scale="85" orientation="portrait" r:id="rId1"/>
  <headerFooter>
    <oddFooter>&amp;A&amp;RPagina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M297"/>
  <sheetViews>
    <sheetView showZeros="0" zoomScaleNormal="100" workbookViewId="0">
      <pane xSplit="2" ySplit="8" topLeftCell="C265" activePane="bottomRight" state="frozen"/>
      <selection pane="topRight" activeCell="C1" sqref="C1"/>
      <selection pane="bottomLeft" activeCell="A9" sqref="A9"/>
      <selection pane="bottomRight" activeCell="I69" sqref="I69"/>
    </sheetView>
  </sheetViews>
  <sheetFormatPr defaultRowHeight="12.75"/>
  <cols>
    <col min="1" max="1" width="36.7109375" customWidth="1"/>
    <col min="2" max="2" width="12" customWidth="1"/>
    <col min="3" max="3" width="16" customWidth="1"/>
    <col min="4" max="4" width="15.5703125" customWidth="1"/>
    <col min="5" max="5" width="17.7109375" customWidth="1"/>
    <col min="6" max="6" width="12.85546875" customWidth="1"/>
    <col min="7" max="7" width="15.85546875" customWidth="1"/>
  </cols>
  <sheetData>
    <row r="1" spans="1:13" ht="18" customHeight="1">
      <c r="A1" s="3421" t="str">
        <f>'ANGAJ BUGETAR'!A1</f>
        <v>CASA  DE  ASIGURĂRI  DE  SĂNĂTATE MEHEDINTI</v>
      </c>
      <c r="B1" s="3421"/>
      <c r="C1" s="3421"/>
      <c r="D1" s="3421"/>
      <c r="E1" s="3421"/>
      <c r="F1" s="3421"/>
      <c r="G1" s="3421"/>
    </row>
    <row r="2" spans="1:13" ht="15">
      <c r="A2" s="3413"/>
      <c r="B2" s="3413"/>
      <c r="C2" s="3413"/>
      <c r="D2" s="3413"/>
      <c r="E2" s="3413"/>
      <c r="F2" s="3413"/>
      <c r="G2" s="3413"/>
    </row>
    <row r="3" spans="1:13" ht="18" customHeight="1">
      <c r="A3" s="4499" t="s">
        <v>2613</v>
      </c>
      <c r="B3" s="4499"/>
      <c r="C3" s="4499"/>
      <c r="D3" s="4499"/>
      <c r="E3" s="4499"/>
      <c r="F3" s="4499"/>
      <c r="G3" s="4499"/>
    </row>
    <row r="4" spans="1:13" ht="18" customHeight="1">
      <c r="A4" s="4500" t="str">
        <f>'ANGAJ BUGETAR'!A4:E4</f>
        <v>la  data  de  30  IUNIE  2023</v>
      </c>
      <c r="B4" s="4500"/>
      <c r="C4" s="4500"/>
      <c r="D4" s="4500"/>
      <c r="E4" s="4500"/>
      <c r="F4" s="4500"/>
      <c r="G4" s="4500"/>
    </row>
    <row r="5" spans="1:13">
      <c r="A5" s="3422" t="s">
        <v>806</v>
      </c>
      <c r="B5" s="1168"/>
      <c r="C5" s="1168"/>
      <c r="D5" s="1168"/>
      <c r="E5" s="1168"/>
      <c r="F5" s="1168"/>
      <c r="G5" s="2225" t="s">
        <v>271</v>
      </c>
    </row>
    <row r="6" spans="1:13">
      <c r="A6" s="4516" t="s">
        <v>807</v>
      </c>
      <c r="B6" s="4527" t="s">
        <v>808</v>
      </c>
      <c r="C6" s="4520" t="s">
        <v>1570</v>
      </c>
      <c r="D6" s="4527" t="s">
        <v>331</v>
      </c>
      <c r="E6" s="4527"/>
      <c r="F6" s="4522" t="s">
        <v>1508</v>
      </c>
      <c r="G6" s="4524" t="s">
        <v>2614</v>
      </c>
    </row>
    <row r="7" spans="1:13" ht="62.45" customHeight="1">
      <c r="A7" s="4526"/>
      <c r="B7" s="4528"/>
      <c r="C7" s="4529"/>
      <c r="D7" s="3892" t="s">
        <v>1115</v>
      </c>
      <c r="E7" s="3423" t="s">
        <v>1571</v>
      </c>
      <c r="F7" s="4530"/>
      <c r="G7" s="4531"/>
    </row>
    <row r="8" spans="1:13">
      <c r="A8" s="3424" t="s">
        <v>92</v>
      </c>
      <c r="B8" s="3425" t="s">
        <v>93</v>
      </c>
      <c r="C8" s="3425" t="s">
        <v>2615</v>
      </c>
      <c r="D8" s="3425">
        <v>2</v>
      </c>
      <c r="E8" s="3426">
        <v>3</v>
      </c>
      <c r="F8" s="3427">
        <v>4</v>
      </c>
      <c r="G8" s="3428" t="s">
        <v>2616</v>
      </c>
    </row>
    <row r="9" spans="1:13" ht="18" customHeight="1">
      <c r="A9" s="1359" t="s">
        <v>816</v>
      </c>
      <c r="B9" s="1360">
        <v>5000</v>
      </c>
      <c r="C9" s="1361">
        <f t="shared" ref="C9:C49" si="0">D9+E9</f>
        <v>438199612</v>
      </c>
      <c r="D9" s="1361">
        <f>D11+D269</f>
        <v>63537794</v>
      </c>
      <c r="E9" s="1361">
        <f>E11+E269</f>
        <v>374661818</v>
      </c>
      <c r="F9" s="1361">
        <f>PLATI!D9</f>
        <v>-181653</v>
      </c>
      <c r="G9" s="1362">
        <f>E9+F9</f>
        <v>374480165</v>
      </c>
      <c r="H9" s="3389"/>
      <c r="I9" s="3389"/>
      <c r="J9" s="3389"/>
      <c r="K9" s="3389"/>
      <c r="L9" s="3389"/>
      <c r="M9" s="3389"/>
    </row>
    <row r="10" spans="1:13" ht="18" customHeight="1">
      <c r="A10" s="3111" t="s">
        <v>872</v>
      </c>
      <c r="B10" s="3112" t="s">
        <v>1831</v>
      </c>
      <c r="C10" s="3113">
        <f t="shared" si="0"/>
        <v>0</v>
      </c>
      <c r="D10" s="3113">
        <f>D99</f>
        <v>0</v>
      </c>
      <c r="E10" s="3113">
        <f>E99</f>
        <v>0</v>
      </c>
      <c r="F10" s="3113">
        <f>PLATI!D10</f>
        <v>0</v>
      </c>
      <c r="G10" s="3114">
        <f t="shared" ref="G10:G49" si="1">E10+F10</f>
        <v>0</v>
      </c>
      <c r="H10" s="3389"/>
      <c r="I10" s="3389"/>
      <c r="J10" s="3389"/>
      <c r="K10" s="3389"/>
      <c r="L10" s="3389"/>
      <c r="M10" s="3389"/>
    </row>
    <row r="11" spans="1:13" ht="18" customHeight="1">
      <c r="A11" s="3111" t="s">
        <v>820</v>
      </c>
      <c r="B11" s="3112" t="s">
        <v>821</v>
      </c>
      <c r="C11" s="3113">
        <f t="shared" si="0"/>
        <v>428619101</v>
      </c>
      <c r="D11" s="3113">
        <f>D12+D34+D63+D66+D83+D96+D99</f>
        <v>63537794</v>
      </c>
      <c r="E11" s="3113">
        <f>E12+E34+E63+E66+E83+E96+E99</f>
        <v>365081307</v>
      </c>
      <c r="F11" s="3113">
        <f>PLATI!D11</f>
        <v>-141119</v>
      </c>
      <c r="G11" s="3114">
        <f t="shared" si="1"/>
        <v>364940188</v>
      </c>
      <c r="H11" s="3389"/>
      <c r="I11" s="3389"/>
      <c r="J11" s="3389"/>
      <c r="K11" s="3389"/>
      <c r="L11" s="3389"/>
      <c r="M11" s="3389"/>
    </row>
    <row r="12" spans="1:13" ht="18" customHeight="1">
      <c r="A12" s="3111" t="s">
        <v>1511</v>
      </c>
      <c r="B12" s="3112" t="s">
        <v>1512</v>
      </c>
      <c r="C12" s="3113">
        <f t="shared" si="0"/>
        <v>4930600</v>
      </c>
      <c r="D12" s="3113">
        <f t="shared" ref="D12:E12" si="2">ROUND(+D13+D25+D23,1)</f>
        <v>0</v>
      </c>
      <c r="E12" s="3113">
        <f t="shared" si="2"/>
        <v>4930600</v>
      </c>
      <c r="F12" s="3113">
        <f>PLATI!D12</f>
        <v>-21349</v>
      </c>
      <c r="G12" s="3114">
        <f t="shared" si="1"/>
        <v>4909251</v>
      </c>
      <c r="H12" s="3389"/>
      <c r="I12" s="3389"/>
      <c r="J12" s="3389"/>
      <c r="K12" s="3389"/>
      <c r="L12" s="3389"/>
      <c r="M12" s="3389"/>
    </row>
    <row r="13" spans="1:13" ht="18" customHeight="1">
      <c r="A13" s="3111" t="s">
        <v>1513</v>
      </c>
      <c r="B13" s="3112" t="s">
        <v>1514</v>
      </c>
      <c r="C13" s="3113">
        <f t="shared" si="0"/>
        <v>4757000</v>
      </c>
      <c r="D13" s="3113">
        <f t="shared" ref="D13:E13" si="3">SUM(D14:D21)</f>
        <v>0</v>
      </c>
      <c r="E13" s="3113">
        <f t="shared" si="3"/>
        <v>4757000</v>
      </c>
      <c r="F13" s="3113">
        <f>PLATI!D13</f>
        <v>-21349</v>
      </c>
      <c r="G13" s="3114">
        <f t="shared" si="1"/>
        <v>4735651</v>
      </c>
      <c r="H13" s="3389"/>
      <c r="I13" s="3389"/>
      <c r="J13" s="3389"/>
      <c r="K13" s="3389"/>
      <c r="L13" s="3389"/>
      <c r="M13" s="3389"/>
    </row>
    <row r="14" spans="1:13" ht="18" customHeight="1">
      <c r="A14" s="3116" t="s">
        <v>863</v>
      </c>
      <c r="B14" s="3044" t="s">
        <v>1515</v>
      </c>
      <c r="C14" s="3045">
        <f t="shared" si="0"/>
        <v>3835000</v>
      </c>
      <c r="D14" s="3045"/>
      <c r="E14" s="3045">
        <v>3835000</v>
      </c>
      <c r="F14" s="3045">
        <f>PLATI!D14</f>
        <v>0</v>
      </c>
      <c r="G14" s="3047">
        <f t="shared" si="1"/>
        <v>3835000</v>
      </c>
    </row>
    <row r="15" spans="1:13" ht="18" customHeight="1">
      <c r="A15" s="3116" t="s">
        <v>1849</v>
      </c>
      <c r="B15" s="3044" t="s">
        <v>1848</v>
      </c>
      <c r="C15" s="3045">
        <f t="shared" si="0"/>
        <v>484000</v>
      </c>
      <c r="D15" s="3045"/>
      <c r="E15" s="3045">
        <v>484000</v>
      </c>
      <c r="F15" s="3045">
        <f>PLATI!D15</f>
        <v>0</v>
      </c>
      <c r="G15" s="3047">
        <f t="shared" si="1"/>
        <v>484000</v>
      </c>
    </row>
    <row r="16" spans="1:13" ht="18" customHeight="1">
      <c r="A16" s="3116" t="s">
        <v>2052</v>
      </c>
      <c r="B16" s="3044" t="s">
        <v>2054</v>
      </c>
      <c r="C16" s="3045">
        <f t="shared" si="0"/>
        <v>149000</v>
      </c>
      <c r="D16" s="3045"/>
      <c r="E16" s="3045">
        <v>149000</v>
      </c>
      <c r="F16" s="3045">
        <f>PLATI!D16</f>
        <v>0</v>
      </c>
      <c r="G16" s="3047">
        <f t="shared" si="1"/>
        <v>149000</v>
      </c>
    </row>
    <row r="17" spans="1:7" ht="25.5">
      <c r="A17" s="3116" t="s">
        <v>903</v>
      </c>
      <c r="B17" s="3044" t="s">
        <v>1516</v>
      </c>
      <c r="C17" s="3045">
        <f t="shared" si="0"/>
        <v>13000</v>
      </c>
      <c r="D17" s="3045"/>
      <c r="E17" s="3045">
        <v>13000</v>
      </c>
      <c r="F17" s="3045">
        <f>PLATI!D17</f>
        <v>0</v>
      </c>
      <c r="G17" s="3047">
        <f t="shared" si="1"/>
        <v>13000</v>
      </c>
    </row>
    <row r="18" spans="1:7" ht="18" customHeight="1">
      <c r="A18" s="3116" t="s">
        <v>2094</v>
      </c>
      <c r="B18" s="3044" t="s">
        <v>1517</v>
      </c>
      <c r="C18" s="3045">
        <f t="shared" si="0"/>
        <v>1000</v>
      </c>
      <c r="D18" s="3045"/>
      <c r="E18" s="3045">
        <v>1000</v>
      </c>
      <c r="F18" s="3045">
        <f>PLATI!D18</f>
        <v>0</v>
      </c>
      <c r="G18" s="3047">
        <f t="shared" si="1"/>
        <v>1000</v>
      </c>
    </row>
    <row r="19" spans="1:7" ht="18" customHeight="1">
      <c r="A19" s="3118" t="s">
        <v>905</v>
      </c>
      <c r="B19" s="3044" t="s">
        <v>1518</v>
      </c>
      <c r="C19" s="3045">
        <f t="shared" si="0"/>
        <v>0</v>
      </c>
      <c r="D19" s="3045"/>
      <c r="E19" s="3045"/>
      <c r="F19" s="3045">
        <f>PLATI!D19</f>
        <v>0</v>
      </c>
      <c r="G19" s="3047">
        <f t="shared" si="1"/>
        <v>0</v>
      </c>
    </row>
    <row r="20" spans="1:7" ht="18" customHeight="1">
      <c r="A20" s="3118" t="s">
        <v>2091</v>
      </c>
      <c r="B20" s="3044" t="s">
        <v>2090</v>
      </c>
      <c r="C20" s="3045">
        <f t="shared" si="0"/>
        <v>164000</v>
      </c>
      <c r="D20" s="3045"/>
      <c r="E20" s="3045">
        <v>164000</v>
      </c>
      <c r="F20" s="3045">
        <f>PLATI!D20</f>
        <v>0</v>
      </c>
      <c r="G20" s="3047">
        <f t="shared" si="1"/>
        <v>164000</v>
      </c>
    </row>
    <row r="21" spans="1:7" ht="18" customHeight="1">
      <c r="A21" s="3116" t="s">
        <v>1591</v>
      </c>
      <c r="B21" s="3044" t="s">
        <v>1519</v>
      </c>
      <c r="C21" s="3045">
        <f t="shared" si="0"/>
        <v>111000</v>
      </c>
      <c r="D21" s="3045"/>
      <c r="E21" s="3045">
        <v>111000</v>
      </c>
      <c r="F21" s="3045">
        <f>PLATI!D21</f>
        <v>-21349</v>
      </c>
      <c r="G21" s="3047">
        <f t="shared" si="1"/>
        <v>89651</v>
      </c>
    </row>
    <row r="22" spans="1:7" ht="18" customHeight="1">
      <c r="A22" s="3119" t="s">
        <v>1592</v>
      </c>
      <c r="B22" s="3044"/>
      <c r="C22" s="3045">
        <f t="shared" si="0"/>
        <v>11000</v>
      </c>
      <c r="D22" s="3045"/>
      <c r="E22" s="3045">
        <v>11000</v>
      </c>
      <c r="F22" s="3045">
        <f>PLATI!D22</f>
        <v>0</v>
      </c>
      <c r="G22" s="3047">
        <f t="shared" si="1"/>
        <v>11000</v>
      </c>
    </row>
    <row r="23" spans="1:7" s="3389" customFormat="1" ht="18" customHeight="1">
      <c r="A23" s="3390" t="s">
        <v>1852</v>
      </c>
      <c r="B23" s="3391" t="s">
        <v>1850</v>
      </c>
      <c r="C23" s="3113">
        <f t="shared" si="0"/>
        <v>64000</v>
      </c>
      <c r="D23" s="3113">
        <f t="shared" ref="D23:E23" si="4">+D24</f>
        <v>0</v>
      </c>
      <c r="E23" s="3113">
        <f t="shared" si="4"/>
        <v>64000</v>
      </c>
      <c r="F23" s="3113">
        <f>PLATI!D23</f>
        <v>0</v>
      </c>
      <c r="G23" s="3114">
        <f t="shared" si="1"/>
        <v>64000</v>
      </c>
    </row>
    <row r="24" spans="1:7" ht="18" customHeight="1">
      <c r="A24" s="3122" t="s">
        <v>1853</v>
      </c>
      <c r="B24" s="3123" t="s">
        <v>1851</v>
      </c>
      <c r="C24" s="3045">
        <f t="shared" si="0"/>
        <v>64000</v>
      </c>
      <c r="D24" s="3045"/>
      <c r="E24" s="3045">
        <v>64000</v>
      </c>
      <c r="F24" s="3045">
        <f>PLATI!D24</f>
        <v>0</v>
      </c>
      <c r="G24" s="3047">
        <f t="shared" si="1"/>
        <v>64000</v>
      </c>
    </row>
    <row r="25" spans="1:7" s="3389" customFormat="1" ht="18" customHeight="1">
      <c r="A25" s="3124" t="s">
        <v>1520</v>
      </c>
      <c r="B25" s="3125" t="s">
        <v>1521</v>
      </c>
      <c r="C25" s="3113">
        <f t="shared" si="0"/>
        <v>109600</v>
      </c>
      <c r="D25" s="3113">
        <f t="shared" ref="D25:E25" si="5">ROUND(+D26+D27+D28+D29+D30+D31+D33,1)</f>
        <v>0</v>
      </c>
      <c r="E25" s="3113">
        <f t="shared" si="5"/>
        <v>109600</v>
      </c>
      <c r="F25" s="3113">
        <f>PLATI!D25</f>
        <v>0</v>
      </c>
      <c r="G25" s="3114">
        <f t="shared" si="1"/>
        <v>109600</v>
      </c>
    </row>
    <row r="26" spans="1:7" ht="18" customHeight="1">
      <c r="A26" s="3116" t="s">
        <v>911</v>
      </c>
      <c r="B26" s="3044" t="s">
        <v>1522</v>
      </c>
      <c r="C26" s="3045">
        <f t="shared" si="0"/>
        <v>1550</v>
      </c>
      <c r="D26" s="3045"/>
      <c r="E26" s="3045">
        <v>1550</v>
      </c>
      <c r="F26" s="3045">
        <f>PLATI!D26</f>
        <v>0</v>
      </c>
      <c r="G26" s="3047">
        <f t="shared" si="1"/>
        <v>1550</v>
      </c>
    </row>
    <row r="27" spans="1:7" ht="18" customHeight="1">
      <c r="A27" s="3116" t="s">
        <v>1523</v>
      </c>
      <c r="B27" s="3044" t="s">
        <v>1524</v>
      </c>
      <c r="C27" s="3045">
        <f t="shared" si="0"/>
        <v>50</v>
      </c>
      <c r="D27" s="3045"/>
      <c r="E27" s="3045">
        <v>50</v>
      </c>
      <c r="F27" s="3045">
        <f>PLATI!D27</f>
        <v>0</v>
      </c>
      <c r="G27" s="3047">
        <f t="shared" si="1"/>
        <v>50</v>
      </c>
    </row>
    <row r="28" spans="1:7" ht="18" customHeight="1">
      <c r="A28" s="3116" t="s">
        <v>1525</v>
      </c>
      <c r="B28" s="3044" t="s">
        <v>1526</v>
      </c>
      <c r="C28" s="3045">
        <f t="shared" si="0"/>
        <v>500</v>
      </c>
      <c r="D28" s="3045"/>
      <c r="E28" s="3045">
        <v>500</v>
      </c>
      <c r="F28" s="3045">
        <f>PLATI!D28</f>
        <v>0</v>
      </c>
      <c r="G28" s="3047">
        <f t="shared" si="1"/>
        <v>500</v>
      </c>
    </row>
    <row r="29" spans="1:7" ht="18" customHeight="1">
      <c r="A29" s="3116" t="s">
        <v>1527</v>
      </c>
      <c r="B29" s="3044" t="s">
        <v>1528</v>
      </c>
      <c r="C29" s="3045">
        <f t="shared" si="0"/>
        <v>50</v>
      </c>
      <c r="D29" s="3045"/>
      <c r="E29" s="3045">
        <v>50</v>
      </c>
      <c r="F29" s="3045">
        <f>PLATI!D29</f>
        <v>0</v>
      </c>
      <c r="G29" s="3047">
        <f t="shared" si="1"/>
        <v>50</v>
      </c>
    </row>
    <row r="30" spans="1:7" ht="18" customHeight="1">
      <c r="A30" s="3116" t="s">
        <v>919</v>
      </c>
      <c r="B30" s="3044" t="s">
        <v>1529</v>
      </c>
      <c r="C30" s="3045">
        <f t="shared" si="0"/>
        <v>100</v>
      </c>
      <c r="D30" s="3045"/>
      <c r="E30" s="3045">
        <v>100</v>
      </c>
      <c r="F30" s="3045">
        <f>PLATI!D30</f>
        <v>0</v>
      </c>
      <c r="G30" s="3047">
        <f t="shared" si="1"/>
        <v>100</v>
      </c>
    </row>
    <row r="31" spans="1:7" ht="18" customHeight="1">
      <c r="A31" s="3116" t="s">
        <v>2327</v>
      </c>
      <c r="B31" s="3123" t="s">
        <v>1854</v>
      </c>
      <c r="C31" s="3045">
        <f t="shared" si="0"/>
        <v>107350</v>
      </c>
      <c r="D31" s="3045"/>
      <c r="E31" s="3045">
        <v>107350</v>
      </c>
      <c r="F31" s="3045">
        <f>PLATI!D31</f>
        <v>0</v>
      </c>
      <c r="G31" s="3047">
        <f t="shared" si="1"/>
        <v>107350</v>
      </c>
    </row>
    <row r="32" spans="1:7" ht="18" customHeight="1">
      <c r="A32" s="3119" t="s">
        <v>1592</v>
      </c>
      <c r="B32" s="3123"/>
      <c r="C32" s="3045">
        <f t="shared" si="0"/>
        <v>0</v>
      </c>
      <c r="D32" s="3045"/>
      <c r="E32" s="3045"/>
      <c r="F32" s="3045">
        <f>PLATI!D32</f>
        <v>0</v>
      </c>
      <c r="G32" s="3047">
        <f t="shared" si="1"/>
        <v>0</v>
      </c>
    </row>
    <row r="33" spans="1:10" ht="25.5">
      <c r="A33" s="3116" t="s">
        <v>1857</v>
      </c>
      <c r="B33" s="3123" t="s">
        <v>1855</v>
      </c>
      <c r="C33" s="3058">
        <f t="shared" si="0"/>
        <v>0</v>
      </c>
      <c r="D33" s="3058"/>
      <c r="E33" s="3058"/>
      <c r="F33" s="3045">
        <f>PLATI!D33</f>
        <v>0</v>
      </c>
      <c r="G33" s="3126">
        <f t="shared" si="1"/>
        <v>0</v>
      </c>
    </row>
    <row r="34" spans="1:10" s="3389" customFormat="1" ht="18" customHeight="1">
      <c r="A34" s="3124" t="s">
        <v>1032</v>
      </c>
      <c r="B34" s="3125" t="s">
        <v>1033</v>
      </c>
      <c r="C34" s="3113">
        <f t="shared" si="0"/>
        <v>363384711</v>
      </c>
      <c r="D34" s="3113">
        <f t="shared" ref="D34:E34" si="6">ROUND(+D35+D50+D49+D52+D55+D56+D57+D58+D59+D60,1)</f>
        <v>63537794</v>
      </c>
      <c r="E34" s="3113">
        <f t="shared" si="6"/>
        <v>299846917</v>
      </c>
      <c r="F34" s="3113">
        <f>PLATI!D34</f>
        <v>-119770</v>
      </c>
      <c r="G34" s="3114">
        <f t="shared" si="1"/>
        <v>299727147</v>
      </c>
    </row>
    <row r="35" spans="1:10" s="3389" customFormat="1" ht="18" customHeight="1">
      <c r="A35" s="3124" t="s">
        <v>1034</v>
      </c>
      <c r="B35" s="3125" t="s">
        <v>1035</v>
      </c>
      <c r="C35" s="3113">
        <f t="shared" si="0"/>
        <v>363333950</v>
      </c>
      <c r="D35" s="3113">
        <f t="shared" ref="D35:E35" si="7">ROUND(+D36+D37+D38+D39+D40+D41+D42+D43+D46,1)</f>
        <v>63537794</v>
      </c>
      <c r="E35" s="3113">
        <f t="shared" si="7"/>
        <v>299796156</v>
      </c>
      <c r="F35" s="3113">
        <f>PLATI!D35</f>
        <v>-119770</v>
      </c>
      <c r="G35" s="3114">
        <f t="shared" si="1"/>
        <v>299676386</v>
      </c>
    </row>
    <row r="36" spans="1:10" ht="18" customHeight="1">
      <c r="A36" s="3116" t="s">
        <v>923</v>
      </c>
      <c r="B36" s="3044" t="s">
        <v>1036</v>
      </c>
      <c r="C36" s="3045">
        <f t="shared" si="0"/>
        <v>12869</v>
      </c>
      <c r="D36" s="3045"/>
      <c r="E36" s="3045">
        <v>12869</v>
      </c>
      <c r="F36" s="3045">
        <f>PLATI!D36</f>
        <v>0</v>
      </c>
      <c r="G36" s="3047">
        <f t="shared" si="1"/>
        <v>12869</v>
      </c>
    </row>
    <row r="37" spans="1:10" ht="18" customHeight="1">
      <c r="A37" s="3116" t="s">
        <v>925</v>
      </c>
      <c r="B37" s="3044" t="s">
        <v>1037</v>
      </c>
      <c r="C37" s="3045">
        <f t="shared" si="0"/>
        <v>3999</v>
      </c>
      <c r="D37" s="3045"/>
      <c r="E37" s="3045">
        <v>3999</v>
      </c>
      <c r="F37" s="3045">
        <f>PLATI!D37</f>
        <v>0</v>
      </c>
      <c r="G37" s="3047">
        <f t="shared" si="1"/>
        <v>3999</v>
      </c>
    </row>
    <row r="38" spans="1:10" ht="18" customHeight="1">
      <c r="A38" s="3116" t="s">
        <v>1038</v>
      </c>
      <c r="B38" s="3044" t="s">
        <v>1039</v>
      </c>
      <c r="C38" s="3045">
        <f t="shared" si="0"/>
        <v>179000</v>
      </c>
      <c r="D38" s="3045"/>
      <c r="E38" s="3045">
        <v>179000</v>
      </c>
      <c r="F38" s="3045">
        <f>PLATI!D38</f>
        <v>0</v>
      </c>
      <c r="G38" s="3047">
        <f t="shared" si="1"/>
        <v>179000</v>
      </c>
    </row>
    <row r="39" spans="1:10" ht="18" customHeight="1">
      <c r="A39" s="3116" t="s">
        <v>929</v>
      </c>
      <c r="B39" s="3044" t="s">
        <v>1040</v>
      </c>
      <c r="C39" s="3045">
        <f t="shared" si="0"/>
        <v>8000</v>
      </c>
      <c r="D39" s="3045"/>
      <c r="E39" s="3045">
        <v>8000</v>
      </c>
      <c r="F39" s="3045">
        <f>PLATI!D39</f>
        <v>0</v>
      </c>
      <c r="G39" s="3047">
        <f t="shared" si="1"/>
        <v>8000</v>
      </c>
    </row>
    <row r="40" spans="1:10" ht="18" customHeight="1">
      <c r="A40" s="3116" t="s">
        <v>931</v>
      </c>
      <c r="B40" s="3044" t="s">
        <v>1041</v>
      </c>
      <c r="C40" s="3045">
        <f t="shared" si="0"/>
        <v>0</v>
      </c>
      <c r="D40" s="3045"/>
      <c r="E40" s="3045"/>
      <c r="F40" s="3045">
        <f>PLATI!D40</f>
        <v>0</v>
      </c>
      <c r="G40" s="3047">
        <f t="shared" si="1"/>
        <v>0</v>
      </c>
    </row>
    <row r="41" spans="1:10" ht="18" customHeight="1">
      <c r="A41" s="3116" t="s">
        <v>933</v>
      </c>
      <c r="B41" s="3044" t="s">
        <v>1042</v>
      </c>
      <c r="C41" s="3045">
        <f t="shared" si="0"/>
        <v>0</v>
      </c>
      <c r="D41" s="3045"/>
      <c r="E41" s="3045"/>
      <c r="F41" s="3045">
        <f>PLATI!D41</f>
        <v>0</v>
      </c>
      <c r="G41" s="3047">
        <f t="shared" si="1"/>
        <v>0</v>
      </c>
    </row>
    <row r="42" spans="1:10" ht="18" customHeight="1">
      <c r="A42" s="3116" t="s">
        <v>1043</v>
      </c>
      <c r="B42" s="3044" t="s">
        <v>1044</v>
      </c>
      <c r="C42" s="3045">
        <f t="shared" si="0"/>
        <v>48000</v>
      </c>
      <c r="D42" s="3045"/>
      <c r="E42" s="3045">
        <v>48000</v>
      </c>
      <c r="F42" s="3045">
        <f>PLATI!D42</f>
        <v>0</v>
      </c>
      <c r="G42" s="3047">
        <f t="shared" si="1"/>
        <v>48000</v>
      </c>
    </row>
    <row r="43" spans="1:10" s="3389" customFormat="1" ht="25.5">
      <c r="A43" s="3124" t="s">
        <v>937</v>
      </c>
      <c r="B43" s="3125" t="s">
        <v>1045</v>
      </c>
      <c r="C43" s="3113">
        <f t="shared" si="0"/>
        <v>362877082</v>
      </c>
      <c r="D43" s="3113">
        <f t="shared" ref="D43:E43" si="8">ROUND(+D44+D45,1)</f>
        <v>63537794</v>
      </c>
      <c r="E43" s="3113">
        <f t="shared" si="8"/>
        <v>299339288</v>
      </c>
      <c r="F43" s="3113">
        <f>PLATI!D43</f>
        <v>-119770</v>
      </c>
      <c r="G43" s="3114">
        <f t="shared" si="1"/>
        <v>299219518</v>
      </c>
    </row>
    <row r="44" spans="1:10" ht="25.5">
      <c r="A44" s="3116" t="s">
        <v>1046</v>
      </c>
      <c r="B44" s="3044" t="s">
        <v>1047</v>
      </c>
      <c r="C44" s="3058">
        <f t="shared" si="0"/>
        <v>362874457</v>
      </c>
      <c r="D44" s="3058">
        <f>ROUND(+D114+D203+D241+D244+D267+D268,1)</f>
        <v>63537794</v>
      </c>
      <c r="E44" s="3058">
        <f>ROUND(+E114+E203+E241+E244+E267+E268,1)</f>
        <v>299336663</v>
      </c>
      <c r="F44" s="3058">
        <f>PLATI!D44</f>
        <v>-119770</v>
      </c>
      <c r="G44" s="3126">
        <f t="shared" si="1"/>
        <v>299216893</v>
      </c>
    </row>
    <row r="45" spans="1:10" ht="25.5">
      <c r="A45" s="3116" t="s">
        <v>1048</v>
      </c>
      <c r="B45" s="3044" t="s">
        <v>1049</v>
      </c>
      <c r="C45" s="3045">
        <f t="shared" si="0"/>
        <v>2625</v>
      </c>
      <c r="D45" s="3045"/>
      <c r="E45" s="3045">
        <v>2625</v>
      </c>
      <c r="F45" s="3045">
        <f>PLATI!D45</f>
        <v>0</v>
      </c>
      <c r="G45" s="3047">
        <f t="shared" si="1"/>
        <v>2625</v>
      </c>
    </row>
    <row r="46" spans="1:10" ht="25.5">
      <c r="A46" s="3116" t="s">
        <v>1793</v>
      </c>
      <c r="B46" s="3044" t="s">
        <v>1050</v>
      </c>
      <c r="C46" s="3045">
        <f t="shared" si="0"/>
        <v>205000</v>
      </c>
      <c r="D46" s="3045"/>
      <c r="E46" s="3045">
        <v>205000</v>
      </c>
      <c r="F46" s="3045">
        <f>PLATI!D46</f>
        <v>0</v>
      </c>
      <c r="G46" s="3047">
        <f t="shared" si="1"/>
        <v>205000</v>
      </c>
    </row>
    <row r="47" spans="1:10" ht="25.5">
      <c r="A47" s="3122" t="s">
        <v>1593</v>
      </c>
      <c r="B47" s="3044"/>
      <c r="C47" s="3045">
        <f t="shared" si="0"/>
        <v>0</v>
      </c>
      <c r="D47" s="3045"/>
      <c r="E47" s="3197"/>
      <c r="F47" s="3045">
        <f>PLATI!D47</f>
        <v>0</v>
      </c>
      <c r="G47" s="3047">
        <f t="shared" si="1"/>
        <v>0</v>
      </c>
    </row>
    <row r="48" spans="1:10" ht="25.5">
      <c r="A48" s="3122" t="s">
        <v>1794</v>
      </c>
      <c r="B48" s="3044"/>
      <c r="C48" s="3045">
        <f t="shared" si="0"/>
        <v>48000</v>
      </c>
      <c r="D48" s="3045"/>
      <c r="E48" s="3823">
        <v>48000</v>
      </c>
      <c r="F48" s="3045">
        <f>PLATI!D48</f>
        <v>0</v>
      </c>
      <c r="G48" s="3047">
        <f t="shared" si="1"/>
        <v>48000</v>
      </c>
      <c r="J48" s="2477" t="str">
        <f>IF(E48=0,"EROARE"," ")</f>
        <v xml:space="preserve"> </v>
      </c>
    </row>
    <row r="49" spans="1:7" s="3389" customFormat="1" ht="18" customHeight="1">
      <c r="A49" s="3124" t="s">
        <v>1051</v>
      </c>
      <c r="B49" s="3125" t="s">
        <v>1052</v>
      </c>
      <c r="C49" s="3131">
        <f t="shared" si="0"/>
        <v>8881</v>
      </c>
      <c r="D49" s="3131"/>
      <c r="E49" s="3131">
        <v>8881</v>
      </c>
      <c r="F49" s="3131">
        <f>PLATI!D49</f>
        <v>0</v>
      </c>
      <c r="G49" s="3184">
        <f t="shared" si="1"/>
        <v>8881</v>
      </c>
    </row>
    <row r="50" spans="1:7" s="3389" customFormat="1" ht="18" customHeight="1">
      <c r="A50" s="3124" t="s">
        <v>1053</v>
      </c>
      <c r="B50" s="3125" t="s">
        <v>1054</v>
      </c>
      <c r="C50" s="3113">
        <f t="shared" ref="C50:C113" si="9">D50+E50</f>
        <v>9217</v>
      </c>
      <c r="D50" s="3113">
        <f t="shared" ref="D50:E50" si="10">+D51</f>
        <v>0</v>
      </c>
      <c r="E50" s="3113">
        <f t="shared" si="10"/>
        <v>9217</v>
      </c>
      <c r="F50" s="3113">
        <f>PLATI!D50</f>
        <v>0</v>
      </c>
      <c r="G50" s="3114">
        <f t="shared" ref="G50:G113" si="11">E50+F50</f>
        <v>9217</v>
      </c>
    </row>
    <row r="51" spans="1:7" ht="18" customHeight="1">
      <c r="A51" s="3116" t="s">
        <v>943</v>
      </c>
      <c r="B51" s="3044" t="s">
        <v>1055</v>
      </c>
      <c r="C51" s="3045">
        <f t="shared" si="9"/>
        <v>9217</v>
      </c>
      <c r="D51" s="3045"/>
      <c r="E51" s="3045">
        <v>9217</v>
      </c>
      <c r="F51" s="3045">
        <f>PLATI!D51</f>
        <v>0</v>
      </c>
      <c r="G51" s="3047">
        <f t="shared" si="11"/>
        <v>9217</v>
      </c>
    </row>
    <row r="52" spans="1:7" s="3389" customFormat="1" ht="18" customHeight="1">
      <c r="A52" s="3124" t="s">
        <v>1056</v>
      </c>
      <c r="B52" s="3125" t="s">
        <v>1057</v>
      </c>
      <c r="C52" s="3113">
        <f t="shared" si="9"/>
        <v>0</v>
      </c>
      <c r="D52" s="3113">
        <f t="shared" ref="D52:E52" si="12">ROUND(+D53+D54,1)</f>
        <v>0</v>
      </c>
      <c r="E52" s="3113">
        <f t="shared" si="12"/>
        <v>0</v>
      </c>
      <c r="F52" s="3113">
        <f>PLATI!D52</f>
        <v>0</v>
      </c>
      <c r="G52" s="3114">
        <f t="shared" si="11"/>
        <v>0</v>
      </c>
    </row>
    <row r="53" spans="1:7" ht="18" customHeight="1">
      <c r="A53" s="3116" t="s">
        <v>1058</v>
      </c>
      <c r="B53" s="3044" t="s">
        <v>1059</v>
      </c>
      <c r="C53" s="3045">
        <f t="shared" si="9"/>
        <v>0</v>
      </c>
      <c r="D53" s="3045"/>
      <c r="E53" s="3045"/>
      <c r="F53" s="3045">
        <f>PLATI!D53</f>
        <v>0</v>
      </c>
      <c r="G53" s="3047">
        <f t="shared" si="11"/>
        <v>0</v>
      </c>
    </row>
    <row r="54" spans="1:7" ht="18" customHeight="1">
      <c r="A54" s="3116" t="s">
        <v>1060</v>
      </c>
      <c r="B54" s="3044" t="s">
        <v>1061</v>
      </c>
      <c r="C54" s="3045">
        <f t="shared" si="9"/>
        <v>0</v>
      </c>
      <c r="D54" s="3045"/>
      <c r="E54" s="3045"/>
      <c r="F54" s="3045">
        <f>PLATI!D54</f>
        <v>0</v>
      </c>
      <c r="G54" s="3047">
        <f t="shared" si="11"/>
        <v>0</v>
      </c>
    </row>
    <row r="55" spans="1:7" s="3389" customFormat="1" ht="25.5">
      <c r="A55" s="3124" t="s">
        <v>951</v>
      </c>
      <c r="B55" s="3125" t="s">
        <v>1062</v>
      </c>
      <c r="C55" s="3131">
        <f t="shared" si="9"/>
        <v>7021</v>
      </c>
      <c r="D55" s="3131"/>
      <c r="E55" s="3131">
        <v>7021</v>
      </c>
      <c r="F55" s="3131">
        <f>PLATI!D55</f>
        <v>0</v>
      </c>
      <c r="G55" s="3184">
        <f t="shared" si="11"/>
        <v>7021</v>
      </c>
    </row>
    <row r="56" spans="1:7" s="3389" customFormat="1" ht="22.15" customHeight="1">
      <c r="A56" s="3406" t="s">
        <v>1530</v>
      </c>
      <c r="B56" s="3407" t="s">
        <v>1063</v>
      </c>
      <c r="C56" s="3408">
        <f t="shared" si="9"/>
        <v>0</v>
      </c>
      <c r="D56" s="3408"/>
      <c r="E56" s="3131"/>
      <c r="F56" s="3408">
        <f>PLATI!D56</f>
        <v>0</v>
      </c>
      <c r="G56" s="3409">
        <f t="shared" si="11"/>
        <v>0</v>
      </c>
    </row>
    <row r="57" spans="1:7" s="3389" customFormat="1" ht="22.15" customHeight="1">
      <c r="A57" s="3904" t="s">
        <v>955</v>
      </c>
      <c r="B57" s="3905" t="s">
        <v>1064</v>
      </c>
      <c r="C57" s="3906">
        <f t="shared" si="9"/>
        <v>0</v>
      </c>
      <c r="D57" s="3906"/>
      <c r="E57" s="3131"/>
      <c r="F57" s="3906">
        <f>PLATI!D57</f>
        <v>0</v>
      </c>
      <c r="G57" s="3907">
        <f t="shared" si="11"/>
        <v>0</v>
      </c>
    </row>
    <row r="58" spans="1:7" s="3389" customFormat="1" ht="18" customHeight="1">
      <c r="A58" s="3124" t="s">
        <v>957</v>
      </c>
      <c r="B58" s="3125" t="s">
        <v>1065</v>
      </c>
      <c r="C58" s="3131">
        <f t="shared" si="9"/>
        <v>4000</v>
      </c>
      <c r="D58" s="3131"/>
      <c r="E58" s="3131">
        <v>4000</v>
      </c>
      <c r="F58" s="3131">
        <f>PLATI!D58</f>
        <v>0</v>
      </c>
      <c r="G58" s="3184">
        <f t="shared" si="11"/>
        <v>4000</v>
      </c>
    </row>
    <row r="59" spans="1:7" s="3389" customFormat="1" ht="48">
      <c r="A59" s="3358" t="s">
        <v>2093</v>
      </c>
      <c r="B59" s="3392" t="s">
        <v>2092</v>
      </c>
      <c r="C59" s="3131">
        <f t="shared" si="9"/>
        <v>3162</v>
      </c>
      <c r="D59" s="3131"/>
      <c r="E59" s="3131">
        <v>3162</v>
      </c>
      <c r="F59" s="3131">
        <f>PLATI!D59</f>
        <v>0</v>
      </c>
      <c r="G59" s="3184">
        <f t="shared" si="11"/>
        <v>3162</v>
      </c>
    </row>
    <row r="60" spans="1:7" s="3389" customFormat="1" ht="18" customHeight="1">
      <c r="A60" s="3124" t="s">
        <v>1066</v>
      </c>
      <c r="B60" s="3125" t="s">
        <v>1067</v>
      </c>
      <c r="C60" s="3113">
        <f t="shared" si="9"/>
        <v>18480</v>
      </c>
      <c r="D60" s="3113">
        <f t="shared" ref="D60:E60" si="13">ROUND(+D61+D62,1)</f>
        <v>0</v>
      </c>
      <c r="E60" s="3113">
        <f t="shared" si="13"/>
        <v>18480</v>
      </c>
      <c r="F60" s="3113">
        <f>PLATI!D60</f>
        <v>0</v>
      </c>
      <c r="G60" s="3114">
        <f t="shared" si="11"/>
        <v>18480</v>
      </c>
    </row>
    <row r="61" spans="1:7" ht="18" customHeight="1">
      <c r="A61" s="3116" t="s">
        <v>870</v>
      </c>
      <c r="B61" s="3044" t="s">
        <v>1068</v>
      </c>
      <c r="C61" s="3045">
        <f t="shared" si="9"/>
        <v>18000</v>
      </c>
      <c r="D61" s="3045"/>
      <c r="E61" s="3045">
        <v>18000</v>
      </c>
      <c r="F61" s="3045">
        <f>PLATI!D61</f>
        <v>0</v>
      </c>
      <c r="G61" s="3047">
        <f t="shared" si="11"/>
        <v>18000</v>
      </c>
    </row>
    <row r="62" spans="1:7" ht="18" customHeight="1">
      <c r="A62" s="3116" t="s">
        <v>960</v>
      </c>
      <c r="B62" s="3044" t="s">
        <v>1069</v>
      </c>
      <c r="C62" s="3045">
        <f t="shared" si="9"/>
        <v>480</v>
      </c>
      <c r="D62" s="3045"/>
      <c r="E62" s="3045">
        <v>480</v>
      </c>
      <c r="F62" s="3045">
        <f>PLATI!D62</f>
        <v>0</v>
      </c>
      <c r="G62" s="3047">
        <f t="shared" si="11"/>
        <v>480</v>
      </c>
    </row>
    <row r="63" spans="1:7" s="3389" customFormat="1" ht="18" customHeight="1">
      <c r="A63" s="3124" t="s">
        <v>1531</v>
      </c>
      <c r="B63" s="3125" t="s">
        <v>1532</v>
      </c>
      <c r="C63" s="3113">
        <f t="shared" si="9"/>
        <v>0</v>
      </c>
      <c r="D63" s="3113">
        <f t="shared" ref="D63:E64" si="14">D64</f>
        <v>0</v>
      </c>
      <c r="E63" s="3113">
        <f t="shared" si="14"/>
        <v>0</v>
      </c>
      <c r="F63" s="3113">
        <f>PLATI!D63</f>
        <v>0</v>
      </c>
      <c r="G63" s="3114">
        <f t="shared" si="11"/>
        <v>0</v>
      </c>
    </row>
    <row r="64" spans="1:7" s="3389" customFormat="1" ht="18" customHeight="1">
      <c r="A64" s="3124" t="s">
        <v>1533</v>
      </c>
      <c r="B64" s="3125" t="s">
        <v>1534</v>
      </c>
      <c r="C64" s="3113">
        <f t="shared" si="9"/>
        <v>0</v>
      </c>
      <c r="D64" s="3113">
        <f t="shared" si="14"/>
        <v>0</v>
      </c>
      <c r="E64" s="3113">
        <f t="shared" si="14"/>
        <v>0</v>
      </c>
      <c r="F64" s="3113">
        <f>PLATI!D64</f>
        <v>0</v>
      </c>
      <c r="G64" s="3114">
        <f t="shared" si="11"/>
        <v>0</v>
      </c>
    </row>
    <row r="65" spans="1:7" ht="18" customHeight="1">
      <c r="A65" s="3116" t="s">
        <v>965</v>
      </c>
      <c r="B65" s="3044" t="s">
        <v>1535</v>
      </c>
      <c r="C65" s="3045">
        <f t="shared" si="9"/>
        <v>0</v>
      </c>
      <c r="D65" s="3045"/>
      <c r="E65" s="3045"/>
      <c r="F65" s="3045">
        <f>PLATI!D65</f>
        <v>0</v>
      </c>
      <c r="G65" s="3047">
        <f t="shared" si="11"/>
        <v>0</v>
      </c>
    </row>
    <row r="66" spans="1:7" s="3389" customFormat="1" ht="38.25">
      <c r="A66" s="3111" t="s">
        <v>967</v>
      </c>
      <c r="B66" s="3112" t="s">
        <v>968</v>
      </c>
      <c r="C66" s="3113">
        <f t="shared" si="9"/>
        <v>60303790</v>
      </c>
      <c r="D66" s="3113">
        <f t="shared" ref="D66:E66" si="15">+D67</f>
        <v>0</v>
      </c>
      <c r="E66" s="3113">
        <f t="shared" si="15"/>
        <v>60303790</v>
      </c>
      <c r="F66" s="3113">
        <f>PLATI!D66</f>
        <v>0</v>
      </c>
      <c r="G66" s="3114">
        <f t="shared" si="11"/>
        <v>60303790</v>
      </c>
    </row>
    <row r="67" spans="1:7" s="3389" customFormat="1" ht="18" customHeight="1">
      <c r="A67" s="3111" t="s">
        <v>969</v>
      </c>
      <c r="B67" s="3112" t="s">
        <v>970</v>
      </c>
      <c r="C67" s="3113">
        <f t="shared" si="9"/>
        <v>60303790</v>
      </c>
      <c r="D67" s="3113">
        <f t="shared" ref="D67:E67" si="16">+D68+D80</f>
        <v>0</v>
      </c>
      <c r="E67" s="3113">
        <f t="shared" si="16"/>
        <v>60303790</v>
      </c>
      <c r="F67" s="3113">
        <f>PLATI!D67</f>
        <v>0</v>
      </c>
      <c r="G67" s="3114">
        <f t="shared" si="11"/>
        <v>60303790</v>
      </c>
    </row>
    <row r="68" spans="1:7" s="3389" customFormat="1" ht="48">
      <c r="A68" s="3393" t="s">
        <v>1798</v>
      </c>
      <c r="B68" s="3112" t="s">
        <v>972</v>
      </c>
      <c r="C68" s="3113">
        <f t="shared" si="9"/>
        <v>60303790</v>
      </c>
      <c r="D68" s="3113">
        <f t="shared" ref="D68:E68" si="17">D69+D70+D71+D72+D77+D78+D79+D76</f>
        <v>0</v>
      </c>
      <c r="E68" s="3113">
        <f t="shared" si="17"/>
        <v>60303790</v>
      </c>
      <c r="F68" s="3113">
        <f>PLATI!D68</f>
        <v>0</v>
      </c>
      <c r="G68" s="3114">
        <f t="shared" si="11"/>
        <v>60303790</v>
      </c>
    </row>
    <row r="69" spans="1:7" ht="48">
      <c r="A69" s="3137" t="s">
        <v>2207</v>
      </c>
      <c r="B69" s="3138"/>
      <c r="C69" s="3053">
        <f t="shared" si="9"/>
        <v>53795300</v>
      </c>
      <c r="D69" s="3053"/>
      <c r="E69" s="3049">
        <v>53795300</v>
      </c>
      <c r="F69" s="3045">
        <f>PLATI!D69</f>
        <v>0</v>
      </c>
      <c r="G69" s="3055">
        <f t="shared" si="11"/>
        <v>53795300</v>
      </c>
    </row>
    <row r="70" spans="1:7" ht="48">
      <c r="A70" s="3137" t="s">
        <v>2208</v>
      </c>
      <c r="B70" s="3139"/>
      <c r="C70" s="3053">
        <f t="shared" si="9"/>
        <v>248934</v>
      </c>
      <c r="D70" s="3053"/>
      <c r="E70" s="3049">
        <v>248934</v>
      </c>
      <c r="F70" s="3045">
        <f>PLATI!D70</f>
        <v>0</v>
      </c>
      <c r="G70" s="3055">
        <f t="shared" si="11"/>
        <v>248934</v>
      </c>
    </row>
    <row r="71" spans="1:7" ht="48">
      <c r="A71" s="3137" t="s">
        <v>2209</v>
      </c>
      <c r="B71" s="3139"/>
      <c r="C71" s="3053">
        <f t="shared" si="9"/>
        <v>154010</v>
      </c>
      <c r="D71" s="3053"/>
      <c r="E71" s="3049">
        <v>154010</v>
      </c>
      <c r="F71" s="3045">
        <f>PLATI!D71</f>
        <v>0</v>
      </c>
      <c r="G71" s="3055">
        <f t="shared" si="11"/>
        <v>154010</v>
      </c>
    </row>
    <row r="72" spans="1:7" s="3389" customFormat="1" ht="60">
      <c r="A72" s="3393" t="s">
        <v>2210</v>
      </c>
      <c r="B72" s="3420"/>
      <c r="C72" s="3113">
        <f t="shared" si="9"/>
        <v>4975893</v>
      </c>
      <c r="D72" s="3113">
        <f t="shared" ref="D72:E72" si="18">D73+D74+D75</f>
        <v>0</v>
      </c>
      <c r="E72" s="3113">
        <f t="shared" si="18"/>
        <v>4975893</v>
      </c>
      <c r="F72" s="3113">
        <f>PLATI!D72</f>
        <v>0</v>
      </c>
      <c r="G72" s="3114">
        <f t="shared" si="11"/>
        <v>4975893</v>
      </c>
    </row>
    <row r="73" spans="1:7" ht="101.25">
      <c r="A73" s="3140" t="s">
        <v>2211</v>
      </c>
      <c r="B73" s="3139"/>
      <c r="C73" s="3053">
        <f t="shared" si="9"/>
        <v>1531404</v>
      </c>
      <c r="D73" s="3053"/>
      <c r="E73" s="3049">
        <v>1531404</v>
      </c>
      <c r="F73" s="3045">
        <f>PLATI!D73</f>
        <v>0</v>
      </c>
      <c r="G73" s="3055">
        <f t="shared" si="11"/>
        <v>1531404</v>
      </c>
    </row>
    <row r="74" spans="1:7" ht="90">
      <c r="A74" s="3141" t="s">
        <v>2212</v>
      </c>
      <c r="B74" s="3064"/>
      <c r="C74" s="3053">
        <f t="shared" si="9"/>
        <v>1521156</v>
      </c>
      <c r="D74" s="3053"/>
      <c r="E74" s="3102">
        <v>1521156</v>
      </c>
      <c r="F74" s="3045">
        <f>PLATI!D74</f>
        <v>0</v>
      </c>
      <c r="G74" s="3055">
        <f t="shared" si="11"/>
        <v>1521156</v>
      </c>
    </row>
    <row r="75" spans="1:7" ht="78.75">
      <c r="A75" s="3141" t="s">
        <v>2420</v>
      </c>
      <c r="B75" s="3064"/>
      <c r="C75" s="3053">
        <f t="shared" si="9"/>
        <v>1923333</v>
      </c>
      <c r="D75" s="3053"/>
      <c r="E75" s="2714">
        <v>1923333</v>
      </c>
      <c r="F75" s="3045">
        <f>PLATI!D75</f>
        <v>0</v>
      </c>
      <c r="G75" s="3055">
        <f t="shared" si="11"/>
        <v>1923333</v>
      </c>
    </row>
    <row r="76" spans="1:7" ht="135">
      <c r="A76" s="3141" t="s">
        <v>2573</v>
      </c>
      <c r="B76" s="3064"/>
      <c r="C76" s="3053">
        <f t="shared" si="9"/>
        <v>1129653</v>
      </c>
      <c r="D76" s="3053"/>
      <c r="E76" s="3049">
        <v>1129653</v>
      </c>
      <c r="F76" s="3045">
        <f>PLATI!D76</f>
        <v>0</v>
      </c>
      <c r="G76" s="3055">
        <f t="shared" si="11"/>
        <v>1129653</v>
      </c>
    </row>
    <row r="77" spans="1:7" ht="56.25">
      <c r="A77" s="3141" t="s">
        <v>2213</v>
      </c>
      <c r="B77" s="3064"/>
      <c r="C77" s="3053">
        <f t="shared" si="9"/>
        <v>0</v>
      </c>
      <c r="D77" s="3053"/>
      <c r="E77" s="3053"/>
      <c r="F77" s="3045">
        <f>PLATI!D77</f>
        <v>0</v>
      </c>
      <c r="G77" s="3055">
        <f t="shared" si="11"/>
        <v>0</v>
      </c>
    </row>
    <row r="78" spans="1:7" ht="60">
      <c r="A78" s="3142" t="s">
        <v>2214</v>
      </c>
      <c r="B78" s="3064"/>
      <c r="C78" s="3053">
        <f t="shared" si="9"/>
        <v>0</v>
      </c>
      <c r="D78" s="3053"/>
      <c r="E78" s="3053"/>
      <c r="F78" s="3045">
        <f>PLATI!D78</f>
        <v>0</v>
      </c>
      <c r="G78" s="3055">
        <f t="shared" si="11"/>
        <v>0</v>
      </c>
    </row>
    <row r="79" spans="1:7" ht="67.900000000000006" customHeight="1">
      <c r="A79" s="3910" t="s">
        <v>2329</v>
      </c>
      <c r="B79" s="3821"/>
      <c r="C79" s="3203">
        <f t="shared" si="9"/>
        <v>0</v>
      </c>
      <c r="D79" s="3203"/>
      <c r="E79" s="3203"/>
      <c r="F79" s="3197">
        <f>PLATI!D79</f>
        <v>0</v>
      </c>
      <c r="G79" s="3204">
        <f t="shared" si="11"/>
        <v>0</v>
      </c>
    </row>
    <row r="80" spans="1:7" s="3389" customFormat="1" ht="50.45" customHeight="1">
      <c r="A80" s="3908" t="s">
        <v>2215</v>
      </c>
      <c r="B80" s="3909" t="s">
        <v>2172</v>
      </c>
      <c r="C80" s="2717">
        <f t="shared" si="9"/>
        <v>0</v>
      </c>
      <c r="D80" s="2717">
        <f t="shared" ref="D80:E80" si="19">D81+D82</f>
        <v>0</v>
      </c>
      <c r="E80" s="2717">
        <f t="shared" si="19"/>
        <v>0</v>
      </c>
      <c r="F80" s="2717">
        <f>PLATI!D80</f>
        <v>0</v>
      </c>
      <c r="G80" s="2718">
        <f t="shared" si="11"/>
        <v>0</v>
      </c>
    </row>
    <row r="81" spans="1:7" ht="48">
      <c r="A81" s="3142" t="s">
        <v>2216</v>
      </c>
      <c r="B81" s="3145"/>
      <c r="C81" s="3117">
        <f t="shared" si="9"/>
        <v>0</v>
      </c>
      <c r="D81" s="3117"/>
      <c r="E81" s="3117"/>
      <c r="F81" s="3045">
        <f>PLATI!D81</f>
        <v>0</v>
      </c>
      <c r="G81" s="3161">
        <f t="shared" si="11"/>
        <v>0</v>
      </c>
    </row>
    <row r="82" spans="1:7" ht="36">
      <c r="A82" s="3142" t="s">
        <v>2217</v>
      </c>
      <c r="B82" s="3145"/>
      <c r="C82" s="3053">
        <f t="shared" si="9"/>
        <v>0</v>
      </c>
      <c r="D82" s="3053"/>
      <c r="E82" s="3053"/>
      <c r="F82" s="3045">
        <f>PLATI!D82</f>
        <v>0</v>
      </c>
      <c r="G82" s="3055">
        <f t="shared" si="11"/>
        <v>0</v>
      </c>
    </row>
    <row r="83" spans="1:7" s="3389" customFormat="1" ht="51">
      <c r="A83" s="3124" t="s">
        <v>973</v>
      </c>
      <c r="B83" s="3125" t="s">
        <v>974</v>
      </c>
      <c r="C83" s="3113">
        <f t="shared" si="9"/>
        <v>0</v>
      </c>
      <c r="D83" s="3113">
        <f t="shared" ref="D83:E83" si="20">D84+D88+D92</f>
        <v>0</v>
      </c>
      <c r="E83" s="3113">
        <f t="shared" si="20"/>
        <v>0</v>
      </c>
      <c r="F83" s="3113">
        <f>PLATI!D83</f>
        <v>0</v>
      </c>
      <c r="G83" s="3114">
        <f t="shared" si="11"/>
        <v>0</v>
      </c>
    </row>
    <row r="84" spans="1:7" s="3389" customFormat="1" ht="25.5">
      <c r="A84" s="3124" t="s">
        <v>2108</v>
      </c>
      <c r="B84" s="3125" t="s">
        <v>2109</v>
      </c>
      <c r="C84" s="3113">
        <f t="shared" si="9"/>
        <v>0</v>
      </c>
      <c r="D84" s="3113">
        <f t="shared" ref="D84:E84" si="21">D85+D86+D87</f>
        <v>0</v>
      </c>
      <c r="E84" s="3113">
        <f t="shared" si="21"/>
        <v>0</v>
      </c>
      <c r="F84" s="3113">
        <f>PLATI!D84</f>
        <v>0</v>
      </c>
      <c r="G84" s="3114">
        <f t="shared" si="11"/>
        <v>0</v>
      </c>
    </row>
    <row r="85" spans="1:7" ht="18" customHeight="1">
      <c r="A85" s="3116" t="s">
        <v>975</v>
      </c>
      <c r="B85" s="3062" t="s">
        <v>2110</v>
      </c>
      <c r="C85" s="3045">
        <f t="shared" si="9"/>
        <v>0</v>
      </c>
      <c r="D85" s="3045"/>
      <c r="E85" s="3045"/>
      <c r="F85" s="3045">
        <f>PLATI!D85</f>
        <v>0</v>
      </c>
      <c r="G85" s="3047">
        <f t="shared" si="11"/>
        <v>0</v>
      </c>
    </row>
    <row r="86" spans="1:7" ht="18" customHeight="1">
      <c r="A86" s="3116" t="s">
        <v>976</v>
      </c>
      <c r="B86" s="3062" t="s">
        <v>2111</v>
      </c>
      <c r="C86" s="3045">
        <f t="shared" si="9"/>
        <v>0</v>
      </c>
      <c r="D86" s="3045"/>
      <c r="E86" s="3045"/>
      <c r="F86" s="3045">
        <f>PLATI!D86</f>
        <v>0</v>
      </c>
      <c r="G86" s="3047">
        <f t="shared" si="11"/>
        <v>0</v>
      </c>
    </row>
    <row r="87" spans="1:7" ht="18" customHeight="1">
      <c r="A87" s="3116" t="s">
        <v>1860</v>
      </c>
      <c r="B87" s="3062" t="s">
        <v>2174</v>
      </c>
      <c r="C87" s="3045">
        <f t="shared" si="9"/>
        <v>0</v>
      </c>
      <c r="D87" s="3045"/>
      <c r="E87" s="3045"/>
      <c r="F87" s="3045">
        <f>PLATI!D87</f>
        <v>0</v>
      </c>
      <c r="G87" s="3047">
        <f t="shared" si="11"/>
        <v>0</v>
      </c>
    </row>
    <row r="88" spans="1:7" s="3389" customFormat="1" ht="25.5">
      <c r="A88" s="3124" t="s">
        <v>977</v>
      </c>
      <c r="B88" s="3125" t="s">
        <v>978</v>
      </c>
      <c r="C88" s="3113">
        <f t="shared" si="9"/>
        <v>0</v>
      </c>
      <c r="D88" s="3113">
        <f t="shared" ref="D88:E88" si="22">D89+D90+D91</f>
        <v>0</v>
      </c>
      <c r="E88" s="3113">
        <f t="shared" si="22"/>
        <v>0</v>
      </c>
      <c r="F88" s="3113">
        <f>PLATI!D88</f>
        <v>0</v>
      </c>
      <c r="G88" s="3114">
        <f t="shared" si="11"/>
        <v>0</v>
      </c>
    </row>
    <row r="89" spans="1:7" ht="18" customHeight="1">
      <c r="A89" s="3116" t="s">
        <v>975</v>
      </c>
      <c r="B89" s="3062" t="s">
        <v>979</v>
      </c>
      <c r="C89" s="3045">
        <f t="shared" si="9"/>
        <v>0</v>
      </c>
      <c r="D89" s="3045"/>
      <c r="E89" s="3045"/>
      <c r="F89" s="3045">
        <f>PLATI!D89</f>
        <v>0</v>
      </c>
      <c r="G89" s="3047">
        <f t="shared" si="11"/>
        <v>0</v>
      </c>
    </row>
    <row r="90" spans="1:7" ht="18" customHeight="1">
      <c r="A90" s="3116" t="s">
        <v>976</v>
      </c>
      <c r="B90" s="3062" t="s">
        <v>1858</v>
      </c>
      <c r="C90" s="3045">
        <f t="shared" si="9"/>
        <v>0</v>
      </c>
      <c r="D90" s="3045"/>
      <c r="E90" s="3045"/>
      <c r="F90" s="3045">
        <f>PLATI!D90</f>
        <v>0</v>
      </c>
      <c r="G90" s="3047">
        <f t="shared" si="11"/>
        <v>0</v>
      </c>
    </row>
    <row r="91" spans="1:7" ht="18" customHeight="1">
      <c r="A91" s="3116" t="s">
        <v>1860</v>
      </c>
      <c r="B91" s="3062" t="s">
        <v>1859</v>
      </c>
      <c r="C91" s="3045">
        <f t="shared" si="9"/>
        <v>0</v>
      </c>
      <c r="D91" s="3045"/>
      <c r="E91" s="3045"/>
      <c r="F91" s="3045">
        <f>PLATI!D91</f>
        <v>0</v>
      </c>
      <c r="G91" s="3047">
        <f t="shared" si="11"/>
        <v>0</v>
      </c>
    </row>
    <row r="92" spans="1:7" s="3389" customFormat="1" ht="25.5">
      <c r="A92" s="3124" t="s">
        <v>1954</v>
      </c>
      <c r="B92" s="3125" t="s">
        <v>2574</v>
      </c>
      <c r="C92" s="3113">
        <f t="shared" si="9"/>
        <v>0</v>
      </c>
      <c r="D92" s="3113">
        <f t="shared" ref="D92:E92" si="23">D93+D94+D95</f>
        <v>0</v>
      </c>
      <c r="E92" s="3113">
        <f t="shared" si="23"/>
        <v>0</v>
      </c>
      <c r="F92" s="3113">
        <f>PLATI!D92</f>
        <v>0</v>
      </c>
      <c r="G92" s="3114">
        <f t="shared" si="11"/>
        <v>0</v>
      </c>
    </row>
    <row r="93" spans="1:7" ht="18" customHeight="1">
      <c r="A93" s="3116" t="s">
        <v>975</v>
      </c>
      <c r="B93" s="3062" t="s">
        <v>2575</v>
      </c>
      <c r="C93" s="3045">
        <f t="shared" si="9"/>
        <v>0</v>
      </c>
      <c r="D93" s="3045"/>
      <c r="E93" s="3045"/>
      <c r="F93" s="3045">
        <f>PLATI!D93</f>
        <v>0</v>
      </c>
      <c r="G93" s="3047">
        <f t="shared" si="11"/>
        <v>0</v>
      </c>
    </row>
    <row r="94" spans="1:7" ht="18" customHeight="1">
      <c r="A94" s="3116" t="s">
        <v>976</v>
      </c>
      <c r="B94" s="3062" t="s">
        <v>2576</v>
      </c>
      <c r="C94" s="3045">
        <f t="shared" si="9"/>
        <v>0</v>
      </c>
      <c r="D94" s="3045"/>
      <c r="E94" s="3045"/>
      <c r="F94" s="3045">
        <f>PLATI!D94</f>
        <v>0</v>
      </c>
      <c r="G94" s="3047">
        <f t="shared" si="11"/>
        <v>0</v>
      </c>
    </row>
    <row r="95" spans="1:7" ht="18" customHeight="1">
      <c r="A95" s="3116" t="s">
        <v>1860</v>
      </c>
      <c r="B95" s="3062" t="s">
        <v>2577</v>
      </c>
      <c r="C95" s="3045">
        <f t="shared" si="9"/>
        <v>0</v>
      </c>
      <c r="D95" s="3045"/>
      <c r="E95" s="3045"/>
      <c r="F95" s="3045">
        <f>PLATI!D95</f>
        <v>0</v>
      </c>
      <c r="G95" s="3047">
        <f t="shared" si="11"/>
        <v>0</v>
      </c>
    </row>
    <row r="96" spans="1:7" s="3389" customFormat="1" ht="18" customHeight="1">
      <c r="A96" s="3124" t="s">
        <v>980</v>
      </c>
      <c r="B96" s="3125" t="s">
        <v>981</v>
      </c>
      <c r="C96" s="3113">
        <f t="shared" si="9"/>
        <v>0</v>
      </c>
      <c r="D96" s="3113">
        <f t="shared" ref="D96:E96" si="24">+D97+D98</f>
        <v>0</v>
      </c>
      <c r="E96" s="3113">
        <f t="shared" si="24"/>
        <v>0</v>
      </c>
      <c r="F96" s="3113">
        <f>PLATI!D96</f>
        <v>0</v>
      </c>
      <c r="G96" s="3114">
        <f t="shared" si="11"/>
        <v>0</v>
      </c>
    </row>
    <row r="97" spans="1:7" ht="18" customHeight="1">
      <c r="A97" s="3116" t="s">
        <v>982</v>
      </c>
      <c r="B97" s="3062" t="s">
        <v>983</v>
      </c>
      <c r="C97" s="3045">
        <f t="shared" si="9"/>
        <v>0</v>
      </c>
      <c r="D97" s="3045"/>
      <c r="E97" s="3045"/>
      <c r="F97" s="3045">
        <f>PLATI!D97</f>
        <v>0</v>
      </c>
      <c r="G97" s="3047">
        <f t="shared" si="11"/>
        <v>0</v>
      </c>
    </row>
    <row r="98" spans="1:7" ht="25.5">
      <c r="A98" s="3116" t="s">
        <v>1864</v>
      </c>
      <c r="B98" s="3062" t="s">
        <v>1863</v>
      </c>
      <c r="C98" s="3045">
        <f t="shared" si="9"/>
        <v>0</v>
      </c>
      <c r="D98" s="3045"/>
      <c r="E98" s="3045"/>
      <c r="F98" s="3045">
        <f>PLATI!D98</f>
        <v>0</v>
      </c>
      <c r="G98" s="3047">
        <f t="shared" si="11"/>
        <v>0</v>
      </c>
    </row>
    <row r="99" spans="1:7" s="3389" customFormat="1" ht="18" customHeight="1">
      <c r="A99" s="3124" t="s">
        <v>872</v>
      </c>
      <c r="B99" s="3125" t="s">
        <v>1070</v>
      </c>
      <c r="C99" s="3113">
        <f t="shared" si="9"/>
        <v>0</v>
      </c>
      <c r="D99" s="3113">
        <f t="shared" ref="D99:E99" si="25">ROUND(+D100,1)</f>
        <v>0</v>
      </c>
      <c r="E99" s="3113">
        <f t="shared" si="25"/>
        <v>0</v>
      </c>
      <c r="F99" s="3113">
        <f>PLATI!D99</f>
        <v>0</v>
      </c>
      <c r="G99" s="3114">
        <f t="shared" si="11"/>
        <v>0</v>
      </c>
    </row>
    <row r="100" spans="1:7" s="3389" customFormat="1" ht="25.5">
      <c r="A100" s="3124" t="s">
        <v>2425</v>
      </c>
      <c r="B100" s="3125" t="s">
        <v>1071</v>
      </c>
      <c r="C100" s="3113">
        <f t="shared" si="9"/>
        <v>0</v>
      </c>
      <c r="D100" s="3113">
        <f t="shared" ref="D100:E100" si="26">ROUND(+D101+D106,1)</f>
        <v>0</v>
      </c>
      <c r="E100" s="3113">
        <f t="shared" si="26"/>
        <v>0</v>
      </c>
      <c r="F100" s="3113">
        <f>PLATI!D100</f>
        <v>0</v>
      </c>
      <c r="G100" s="3114">
        <f t="shared" si="11"/>
        <v>0</v>
      </c>
    </row>
    <row r="101" spans="1:7" s="3389" customFormat="1" ht="18" customHeight="1">
      <c r="A101" s="3124" t="s">
        <v>1536</v>
      </c>
      <c r="B101" s="3125" t="s">
        <v>1072</v>
      </c>
      <c r="C101" s="3113">
        <f t="shared" si="9"/>
        <v>0</v>
      </c>
      <c r="D101" s="3113">
        <f t="shared" ref="D101:E101" si="27">ROUND(D102+D103+D104+D105,1)</f>
        <v>0</v>
      </c>
      <c r="E101" s="3113">
        <f t="shared" si="27"/>
        <v>0</v>
      </c>
      <c r="F101" s="3113">
        <f>PLATI!D101</f>
        <v>0</v>
      </c>
      <c r="G101" s="3114">
        <f t="shared" si="11"/>
        <v>0</v>
      </c>
    </row>
    <row r="102" spans="1:7" ht="18" customHeight="1">
      <c r="A102" s="3116" t="s">
        <v>992</v>
      </c>
      <c r="B102" s="3044" t="s">
        <v>1073</v>
      </c>
      <c r="C102" s="3045">
        <f t="shared" si="9"/>
        <v>0</v>
      </c>
      <c r="D102" s="3045"/>
      <c r="E102" s="3045"/>
      <c r="F102" s="3045">
        <f>PLATI!D102</f>
        <v>0</v>
      </c>
      <c r="G102" s="3047">
        <f t="shared" si="11"/>
        <v>0</v>
      </c>
    </row>
    <row r="103" spans="1:7" ht="25.5">
      <c r="A103" s="3147" t="s">
        <v>876</v>
      </c>
      <c r="B103" s="3148" t="s">
        <v>1074</v>
      </c>
      <c r="C103" s="3045">
        <f t="shared" si="9"/>
        <v>0</v>
      </c>
      <c r="D103" s="3045"/>
      <c r="E103" s="3045"/>
      <c r="F103" s="3045">
        <f>PLATI!D103</f>
        <v>0</v>
      </c>
      <c r="G103" s="3047">
        <f t="shared" si="11"/>
        <v>0</v>
      </c>
    </row>
    <row r="104" spans="1:7" ht="25.5">
      <c r="A104" s="3149" t="s">
        <v>994</v>
      </c>
      <c r="B104" s="3148" t="s">
        <v>1075</v>
      </c>
      <c r="C104" s="3045">
        <f t="shared" si="9"/>
        <v>0</v>
      </c>
      <c r="D104" s="3045"/>
      <c r="E104" s="3045"/>
      <c r="F104" s="3045">
        <f>PLATI!D104</f>
        <v>0</v>
      </c>
      <c r="G104" s="3047">
        <f t="shared" si="11"/>
        <v>0</v>
      </c>
    </row>
    <row r="105" spans="1:7" ht="18" customHeight="1">
      <c r="A105" s="3116" t="s">
        <v>1537</v>
      </c>
      <c r="B105" s="3044" t="s">
        <v>1076</v>
      </c>
      <c r="C105" s="3045">
        <f t="shared" si="9"/>
        <v>0</v>
      </c>
      <c r="D105" s="3045"/>
      <c r="E105" s="3045"/>
      <c r="F105" s="3045">
        <f>PLATI!D105</f>
        <v>0</v>
      </c>
      <c r="G105" s="3047">
        <f t="shared" si="11"/>
        <v>0</v>
      </c>
    </row>
    <row r="106" spans="1:7" s="3389" customFormat="1" ht="18" customHeight="1">
      <c r="A106" s="3124" t="s">
        <v>998</v>
      </c>
      <c r="B106" s="3125" t="s">
        <v>1538</v>
      </c>
      <c r="C106" s="3131">
        <f t="shared" si="9"/>
        <v>0</v>
      </c>
      <c r="D106" s="3131"/>
      <c r="E106" s="3131"/>
      <c r="F106" s="3131">
        <f>PLATI!D106</f>
        <v>0</v>
      </c>
      <c r="G106" s="3184">
        <f t="shared" si="11"/>
        <v>0</v>
      </c>
    </row>
    <row r="107" spans="1:7" s="3389" customFormat="1" ht="18" customHeight="1">
      <c r="A107" s="3396" t="s">
        <v>822</v>
      </c>
      <c r="B107" s="3397" t="s">
        <v>823</v>
      </c>
      <c r="C107" s="3131">
        <f t="shared" si="9"/>
        <v>0</v>
      </c>
      <c r="D107" s="3131"/>
      <c r="E107" s="3131"/>
      <c r="F107" s="3131">
        <f>PLATI!D107</f>
        <v>0</v>
      </c>
      <c r="G107" s="3184">
        <f t="shared" si="11"/>
        <v>0</v>
      </c>
    </row>
    <row r="108" spans="1:7" s="3389" customFormat="1" ht="18" customHeight="1">
      <c r="A108" s="3396" t="s">
        <v>824</v>
      </c>
      <c r="B108" s="3397" t="s">
        <v>825</v>
      </c>
      <c r="C108" s="3113">
        <f t="shared" si="9"/>
        <v>65744644</v>
      </c>
      <c r="D108" s="3113">
        <f t="shared" ref="D108:E108" si="28">ROUND(D12+D34+D63+D66-D44-D107+D96+D83+D99,1)</f>
        <v>0</v>
      </c>
      <c r="E108" s="3113">
        <f t="shared" si="28"/>
        <v>65744644</v>
      </c>
      <c r="F108" s="3113">
        <f>PLATI!D108</f>
        <v>-21349</v>
      </c>
      <c r="G108" s="3114">
        <f t="shared" si="11"/>
        <v>65723295</v>
      </c>
    </row>
    <row r="109" spans="1:7" s="3389" customFormat="1" ht="24" hidden="1">
      <c r="A109" s="3152" t="s">
        <v>1000</v>
      </c>
      <c r="B109" s="3153" t="s">
        <v>1001</v>
      </c>
      <c r="C109" s="3113">
        <f t="shared" si="9"/>
        <v>0</v>
      </c>
      <c r="D109" s="3113"/>
      <c r="E109" s="3113"/>
      <c r="F109" s="3113">
        <f>PLATI!D109</f>
        <v>0</v>
      </c>
      <c r="G109" s="3114">
        <f t="shared" si="11"/>
        <v>0</v>
      </c>
    </row>
    <row r="110" spans="1:7" s="3389" customFormat="1" ht="24" hidden="1">
      <c r="A110" s="3154" t="s">
        <v>2424</v>
      </c>
      <c r="B110" s="3153" t="s">
        <v>1002</v>
      </c>
      <c r="C110" s="3113">
        <f t="shared" si="9"/>
        <v>0</v>
      </c>
      <c r="D110" s="3113"/>
      <c r="E110" s="3113"/>
      <c r="F110" s="3113">
        <f>PLATI!D110</f>
        <v>0</v>
      </c>
      <c r="G110" s="3114">
        <f t="shared" si="11"/>
        <v>0</v>
      </c>
    </row>
    <row r="111" spans="1:7" ht="24" hidden="1">
      <c r="A111" s="3155" t="s">
        <v>1594</v>
      </c>
      <c r="B111" s="3156" t="s">
        <v>1004</v>
      </c>
      <c r="C111" s="3113">
        <f t="shared" si="9"/>
        <v>0</v>
      </c>
      <c r="D111" s="3113"/>
      <c r="E111" s="3113"/>
      <c r="F111" s="3113">
        <f>PLATI!D111</f>
        <v>0</v>
      </c>
      <c r="G111" s="3114">
        <f t="shared" si="11"/>
        <v>0</v>
      </c>
    </row>
    <row r="112" spans="1:7" ht="24" hidden="1">
      <c r="A112" s="3155" t="s">
        <v>1594</v>
      </c>
      <c r="B112" s="3156" t="s">
        <v>1005</v>
      </c>
      <c r="C112" s="3058">
        <f t="shared" si="9"/>
        <v>0</v>
      </c>
      <c r="D112" s="3058"/>
      <c r="E112" s="3058"/>
      <c r="F112" s="3058">
        <f>PLATI!D112</f>
        <v>0</v>
      </c>
      <c r="G112" s="3126">
        <f t="shared" si="11"/>
        <v>0</v>
      </c>
    </row>
    <row r="113" spans="1:7" s="3389" customFormat="1" ht="25.5">
      <c r="A113" s="3398" t="s">
        <v>1046</v>
      </c>
      <c r="B113" s="3399"/>
      <c r="C113" s="3113">
        <f t="shared" si="9"/>
        <v>362874457</v>
      </c>
      <c r="D113" s="3113">
        <f t="shared" ref="D113:E113" si="29">D114+D203+D241+D244+D267+D268</f>
        <v>63537794</v>
      </c>
      <c r="E113" s="3113">
        <f t="shared" si="29"/>
        <v>299336663</v>
      </c>
      <c r="F113" s="3113">
        <f>PLATI!D113</f>
        <v>-119770</v>
      </c>
      <c r="G113" s="3114">
        <f t="shared" si="11"/>
        <v>299216893</v>
      </c>
    </row>
    <row r="114" spans="1:7" s="3389" customFormat="1" ht="38.25">
      <c r="A114" s="3396" t="s">
        <v>826</v>
      </c>
      <c r="B114" s="3397" t="s">
        <v>827</v>
      </c>
      <c r="C114" s="3113">
        <f t="shared" ref="C114:C177" si="30">D114+E114</f>
        <v>155634667</v>
      </c>
      <c r="D114" s="3113">
        <f t="shared" ref="D114:E114" si="31">ROUND(+D115+D130+D167+D197+D200,1)</f>
        <v>48973817</v>
      </c>
      <c r="E114" s="3113">
        <f t="shared" si="31"/>
        <v>106660850</v>
      </c>
      <c r="F114" s="3113">
        <f>PLATI!D114</f>
        <v>-7650</v>
      </c>
      <c r="G114" s="3114">
        <f t="shared" ref="G114:G177" si="32">E114+F114</f>
        <v>106653200</v>
      </c>
    </row>
    <row r="115" spans="1:7" s="3389" customFormat="1" ht="25.5">
      <c r="A115" s="3124" t="s">
        <v>1595</v>
      </c>
      <c r="B115" s="3125" t="s">
        <v>829</v>
      </c>
      <c r="C115" s="3113">
        <f t="shared" si="30"/>
        <v>80958844</v>
      </c>
      <c r="D115" s="3113">
        <f t="shared" ref="D115:E115" si="33">D116+D117+D118+D119+D120+D121+D124</f>
        <v>27646674</v>
      </c>
      <c r="E115" s="3113">
        <f t="shared" si="33"/>
        <v>53312170</v>
      </c>
      <c r="F115" s="3113">
        <f>PLATI!D115</f>
        <v>-7650</v>
      </c>
      <c r="G115" s="3114">
        <f t="shared" si="32"/>
        <v>53304520</v>
      </c>
    </row>
    <row r="116" spans="1:7" ht="18" customHeight="1">
      <c r="A116" s="3159" t="s">
        <v>1539</v>
      </c>
      <c r="B116" s="3044"/>
      <c r="C116" s="3053">
        <f t="shared" si="30"/>
        <v>72882249</v>
      </c>
      <c r="D116" s="3965">
        <v>25210249</v>
      </c>
      <c r="E116" s="3053">
        <v>47672000</v>
      </c>
      <c r="F116" s="3053">
        <f>PLATI!D116</f>
        <v>-7650</v>
      </c>
      <c r="G116" s="3055">
        <f t="shared" si="32"/>
        <v>47664350</v>
      </c>
    </row>
    <row r="117" spans="1:7" ht="63.75">
      <c r="A117" s="3159" t="s">
        <v>2451</v>
      </c>
      <c r="B117" s="3044"/>
      <c r="C117" s="3053">
        <f t="shared" si="30"/>
        <v>0</v>
      </c>
      <c r="D117" s="3053"/>
      <c r="E117" s="3053"/>
      <c r="F117" s="3053">
        <f>PLATI!D117</f>
        <v>0</v>
      </c>
      <c r="G117" s="3055">
        <f t="shared" si="32"/>
        <v>0</v>
      </c>
    </row>
    <row r="118" spans="1:7" ht="102">
      <c r="A118" s="3159" t="s">
        <v>2452</v>
      </c>
      <c r="B118" s="3044"/>
      <c r="C118" s="3053">
        <f t="shared" si="30"/>
        <v>0</v>
      </c>
      <c r="D118" s="3053"/>
      <c r="E118" s="3053"/>
      <c r="F118" s="3053">
        <f>PLATI!D118</f>
        <v>0</v>
      </c>
      <c r="G118" s="3055">
        <f t="shared" si="32"/>
        <v>0</v>
      </c>
    </row>
    <row r="119" spans="1:7" ht="56.25">
      <c r="A119" s="3814" t="s">
        <v>1795</v>
      </c>
      <c r="B119" s="3187"/>
      <c r="C119" s="3203">
        <f t="shared" si="30"/>
        <v>892182</v>
      </c>
      <c r="D119" s="3206">
        <v>129182</v>
      </c>
      <c r="E119" s="3206">
        <v>763000</v>
      </c>
      <c r="F119" s="3203">
        <f>PLATI!D119</f>
        <v>0</v>
      </c>
      <c r="G119" s="3204">
        <f t="shared" si="32"/>
        <v>763000</v>
      </c>
    </row>
    <row r="120" spans="1:7" ht="18" customHeight="1">
      <c r="A120" s="3897" t="s">
        <v>1540</v>
      </c>
      <c r="B120" s="2719"/>
      <c r="C120" s="3206">
        <f t="shared" si="30"/>
        <v>7000</v>
      </c>
      <c r="D120" s="3206"/>
      <c r="E120" s="3053">
        <v>7000</v>
      </c>
      <c r="F120" s="3206">
        <f>PLATI!D120</f>
        <v>0</v>
      </c>
      <c r="G120" s="3208">
        <f t="shared" si="32"/>
        <v>7000</v>
      </c>
    </row>
    <row r="121" spans="1:7" ht="18" customHeight="1">
      <c r="A121" s="3160" t="s">
        <v>2453</v>
      </c>
      <c r="B121" s="3044"/>
      <c r="C121" s="3117">
        <f t="shared" si="30"/>
        <v>0</v>
      </c>
      <c r="D121" s="3117">
        <f t="shared" ref="D121:E121" si="34">D122+D123</f>
        <v>0</v>
      </c>
      <c r="E121" s="3117">
        <f t="shared" si="34"/>
        <v>0</v>
      </c>
      <c r="F121" s="3117">
        <f>PLATI!D121</f>
        <v>0</v>
      </c>
      <c r="G121" s="3161">
        <f t="shared" si="32"/>
        <v>0</v>
      </c>
    </row>
    <row r="122" spans="1:7" ht="18" customHeight="1">
      <c r="A122" s="3160" t="s">
        <v>1539</v>
      </c>
      <c r="B122" s="3044"/>
      <c r="C122" s="3053">
        <f t="shared" si="30"/>
        <v>0</v>
      </c>
      <c r="D122" s="3053"/>
      <c r="E122" s="3053"/>
      <c r="F122" s="3053">
        <f>PLATI!D122</f>
        <v>0</v>
      </c>
      <c r="G122" s="3055">
        <f t="shared" si="32"/>
        <v>0</v>
      </c>
    </row>
    <row r="123" spans="1:7" ht="84">
      <c r="A123" s="3160" t="s">
        <v>2452</v>
      </c>
      <c r="B123" s="3044"/>
      <c r="C123" s="3053">
        <f t="shared" si="30"/>
        <v>0</v>
      </c>
      <c r="D123" s="3053"/>
      <c r="E123" s="3053"/>
      <c r="F123" s="3053">
        <f>PLATI!D123</f>
        <v>0</v>
      </c>
      <c r="G123" s="3055">
        <f t="shared" si="32"/>
        <v>0</v>
      </c>
    </row>
    <row r="124" spans="1:7" ht="18" customHeight="1">
      <c r="A124" s="3162" t="s">
        <v>2197</v>
      </c>
      <c r="B124" s="3163"/>
      <c r="C124" s="3164">
        <f t="shared" si="30"/>
        <v>7177413</v>
      </c>
      <c r="D124" s="3164">
        <f t="shared" ref="D124:E124" si="35">D125+D128+D129</f>
        <v>2307243</v>
      </c>
      <c r="E124" s="3164">
        <f t="shared" si="35"/>
        <v>4870170</v>
      </c>
      <c r="F124" s="3164">
        <f>PLATI!D124</f>
        <v>0</v>
      </c>
      <c r="G124" s="3165">
        <f t="shared" si="32"/>
        <v>4870170</v>
      </c>
    </row>
    <row r="125" spans="1:7" ht="33.75">
      <c r="A125" s="3166" t="s">
        <v>2198</v>
      </c>
      <c r="B125" s="3044"/>
      <c r="C125" s="3117">
        <f t="shared" si="30"/>
        <v>6766496</v>
      </c>
      <c r="D125" s="3117">
        <f t="shared" ref="D125:E125" si="36">D126+D127</f>
        <v>2202636</v>
      </c>
      <c r="E125" s="3117">
        <f t="shared" si="36"/>
        <v>4563860</v>
      </c>
      <c r="F125" s="3117">
        <f>PLATI!D125</f>
        <v>0</v>
      </c>
      <c r="G125" s="3161">
        <f t="shared" si="32"/>
        <v>4563860</v>
      </c>
    </row>
    <row r="126" spans="1:7" ht="18" customHeight="1">
      <c r="A126" s="3166" t="s">
        <v>2454</v>
      </c>
      <c r="B126" s="3044"/>
      <c r="C126" s="3053">
        <f t="shared" si="30"/>
        <v>6766496</v>
      </c>
      <c r="D126" s="3965">
        <v>2202636</v>
      </c>
      <c r="E126" s="3053">
        <v>4563860</v>
      </c>
      <c r="F126" s="3053">
        <f>PLATI!D126</f>
        <v>0</v>
      </c>
      <c r="G126" s="3055">
        <f t="shared" si="32"/>
        <v>4563860</v>
      </c>
    </row>
    <row r="127" spans="1:7" ht="67.5">
      <c r="A127" s="3166" t="s">
        <v>2452</v>
      </c>
      <c r="B127" s="3044"/>
      <c r="C127" s="3053">
        <f t="shared" si="30"/>
        <v>0</v>
      </c>
      <c r="D127" s="3053"/>
      <c r="E127" s="3053"/>
      <c r="F127" s="3053">
        <f>PLATI!D127</f>
        <v>0</v>
      </c>
      <c r="G127" s="3055">
        <f t="shared" si="32"/>
        <v>0</v>
      </c>
    </row>
    <row r="128" spans="1:7" ht="56.25">
      <c r="A128" s="3167" t="s">
        <v>2199</v>
      </c>
      <c r="B128" s="3044"/>
      <c r="C128" s="3053">
        <f t="shared" si="30"/>
        <v>211864</v>
      </c>
      <c r="D128" s="3965">
        <v>58244</v>
      </c>
      <c r="E128" s="3053">
        <v>153620</v>
      </c>
      <c r="F128" s="3053">
        <f>PLATI!D128</f>
        <v>0</v>
      </c>
      <c r="G128" s="3055">
        <f t="shared" si="32"/>
        <v>153620</v>
      </c>
    </row>
    <row r="129" spans="1:7" ht="56.25">
      <c r="A129" s="3167" t="s">
        <v>2200</v>
      </c>
      <c r="B129" s="3044"/>
      <c r="C129" s="3053">
        <f t="shared" si="30"/>
        <v>199053</v>
      </c>
      <c r="D129" s="3965">
        <v>46363</v>
      </c>
      <c r="E129" s="3053">
        <v>152690</v>
      </c>
      <c r="F129" s="3053">
        <f>PLATI!D129</f>
        <v>0</v>
      </c>
      <c r="G129" s="3055">
        <f t="shared" si="32"/>
        <v>152690</v>
      </c>
    </row>
    <row r="130" spans="1:7" s="3389" customFormat="1" ht="38.25">
      <c r="A130" s="3124" t="s">
        <v>1596</v>
      </c>
      <c r="B130" s="3125" t="s">
        <v>831</v>
      </c>
      <c r="C130" s="3113">
        <f t="shared" si="30"/>
        <v>51960695</v>
      </c>
      <c r="D130" s="3113">
        <f t="shared" ref="D130:E130" si="37">D132+D135+D138+D141+D144+D147+D150+D154+D157</f>
        <v>18364535</v>
      </c>
      <c r="E130" s="3113">
        <f t="shared" si="37"/>
        <v>33596160</v>
      </c>
      <c r="F130" s="3113">
        <f>PLATI!D130</f>
        <v>0</v>
      </c>
      <c r="G130" s="3114">
        <f t="shared" si="32"/>
        <v>33596160</v>
      </c>
    </row>
    <row r="131" spans="1:7" ht="14.25" hidden="1">
      <c r="A131" s="3382" t="s">
        <v>1539</v>
      </c>
      <c r="B131" s="3151"/>
      <c r="C131" s="3168" t="e">
        <f t="shared" si="30"/>
        <v>#REF!</v>
      </c>
      <c r="D131" s="3168" t="e">
        <f>#REF!</f>
        <v>#REF!</v>
      </c>
      <c r="E131" s="3168" t="e">
        <f>#REF!</f>
        <v>#REF!</v>
      </c>
      <c r="F131" s="3168">
        <f>PLATI!D131</f>
        <v>0</v>
      </c>
      <c r="G131" s="3169" t="e">
        <f t="shared" si="32"/>
        <v>#REF!</v>
      </c>
    </row>
    <row r="132" spans="1:7" ht="25.5">
      <c r="A132" s="3159" t="s">
        <v>1541</v>
      </c>
      <c r="B132" s="3044"/>
      <c r="C132" s="3058">
        <f t="shared" si="30"/>
        <v>2529309</v>
      </c>
      <c r="D132" s="3058">
        <f t="shared" ref="D132:E132" si="38">D133+D134</f>
        <v>558539</v>
      </c>
      <c r="E132" s="3058">
        <f t="shared" si="38"/>
        <v>1970770</v>
      </c>
      <c r="F132" s="3058">
        <f>PLATI!D132</f>
        <v>0</v>
      </c>
      <c r="G132" s="3126">
        <f t="shared" si="32"/>
        <v>1970770</v>
      </c>
    </row>
    <row r="133" spans="1:7" ht="18" customHeight="1">
      <c r="A133" s="3159" t="s">
        <v>2454</v>
      </c>
      <c r="B133" s="3044"/>
      <c r="C133" s="3045">
        <f t="shared" si="30"/>
        <v>2529309</v>
      </c>
      <c r="D133" s="3966">
        <v>558539</v>
      </c>
      <c r="E133" s="3045">
        <v>1970770</v>
      </c>
      <c r="F133" s="3045">
        <f>PLATI!D133</f>
        <v>0</v>
      </c>
      <c r="G133" s="3047">
        <f t="shared" si="32"/>
        <v>1970770</v>
      </c>
    </row>
    <row r="134" spans="1:7" ht="102">
      <c r="A134" s="3159" t="s">
        <v>2452</v>
      </c>
      <c r="B134" s="3044"/>
      <c r="C134" s="3045">
        <f t="shared" si="30"/>
        <v>0</v>
      </c>
      <c r="D134" s="3045"/>
      <c r="E134" s="3045"/>
      <c r="F134" s="3045">
        <f>PLATI!D134</f>
        <v>0</v>
      </c>
      <c r="G134" s="3047">
        <f t="shared" si="32"/>
        <v>0</v>
      </c>
    </row>
    <row r="135" spans="1:7" ht="25.5">
      <c r="A135" s="3159" t="s">
        <v>1542</v>
      </c>
      <c r="B135" s="3044"/>
      <c r="C135" s="3058">
        <f t="shared" si="30"/>
        <v>0</v>
      </c>
      <c r="D135" s="3058">
        <f t="shared" ref="D135:E135" si="39">D136+D137</f>
        <v>0</v>
      </c>
      <c r="E135" s="3058">
        <f t="shared" si="39"/>
        <v>0</v>
      </c>
      <c r="F135" s="3058">
        <f>PLATI!D135</f>
        <v>0</v>
      </c>
      <c r="G135" s="3126">
        <f t="shared" si="32"/>
        <v>0</v>
      </c>
    </row>
    <row r="136" spans="1:7" ht="18" customHeight="1">
      <c r="A136" s="3159" t="s">
        <v>2454</v>
      </c>
      <c r="B136" s="3044"/>
      <c r="C136" s="3045">
        <f t="shared" si="30"/>
        <v>0</v>
      </c>
      <c r="D136" s="3045"/>
      <c r="E136" s="3045"/>
      <c r="F136" s="3045">
        <f>PLATI!D136</f>
        <v>0</v>
      </c>
      <c r="G136" s="3047">
        <f t="shared" si="32"/>
        <v>0</v>
      </c>
    </row>
    <row r="137" spans="1:7" ht="102">
      <c r="A137" s="3159" t="s">
        <v>2452</v>
      </c>
      <c r="B137" s="3044"/>
      <c r="C137" s="3045">
        <f t="shared" si="30"/>
        <v>0</v>
      </c>
      <c r="D137" s="3045"/>
      <c r="E137" s="3045"/>
      <c r="F137" s="3045">
        <f>PLATI!D137</f>
        <v>0</v>
      </c>
      <c r="G137" s="3047">
        <f t="shared" si="32"/>
        <v>0</v>
      </c>
    </row>
    <row r="138" spans="1:7" ht="25.5">
      <c r="A138" s="3159" t="s">
        <v>1543</v>
      </c>
      <c r="B138" s="3044"/>
      <c r="C138" s="3058">
        <f t="shared" si="30"/>
        <v>1420314</v>
      </c>
      <c r="D138" s="3058">
        <f t="shared" ref="D138:E138" si="40">D139+D140</f>
        <v>696714</v>
      </c>
      <c r="E138" s="3058">
        <f t="shared" si="40"/>
        <v>723600</v>
      </c>
      <c r="F138" s="3058">
        <f>PLATI!D138</f>
        <v>0</v>
      </c>
      <c r="G138" s="3126">
        <f t="shared" si="32"/>
        <v>723600</v>
      </c>
    </row>
    <row r="139" spans="1:7" ht="18" customHeight="1">
      <c r="A139" s="3159" t="s">
        <v>2454</v>
      </c>
      <c r="B139" s="3044"/>
      <c r="C139" s="3045">
        <f t="shared" si="30"/>
        <v>1420314</v>
      </c>
      <c r="D139" s="3966">
        <v>696714</v>
      </c>
      <c r="E139" s="3045">
        <v>723600</v>
      </c>
      <c r="F139" s="3045">
        <f>PLATI!D139</f>
        <v>0</v>
      </c>
      <c r="G139" s="3047">
        <f t="shared" si="32"/>
        <v>723600</v>
      </c>
    </row>
    <row r="140" spans="1:7" ht="102">
      <c r="A140" s="3159" t="s">
        <v>2452</v>
      </c>
      <c r="B140" s="3044"/>
      <c r="C140" s="3045">
        <f t="shared" si="30"/>
        <v>0</v>
      </c>
      <c r="D140" s="3045"/>
      <c r="E140" s="3045"/>
      <c r="F140" s="3045">
        <f>PLATI!D140</f>
        <v>0</v>
      </c>
      <c r="G140" s="3047">
        <f t="shared" si="32"/>
        <v>0</v>
      </c>
    </row>
    <row r="141" spans="1:7" ht="25.5">
      <c r="A141" s="3159" t="s">
        <v>1544</v>
      </c>
      <c r="B141" s="3044"/>
      <c r="C141" s="3058">
        <f t="shared" si="30"/>
        <v>20169105</v>
      </c>
      <c r="D141" s="3058">
        <f t="shared" ref="D141:E141" si="41">D142+D143</f>
        <v>7167305</v>
      </c>
      <c r="E141" s="3058">
        <f t="shared" si="41"/>
        <v>13001800</v>
      </c>
      <c r="F141" s="3058">
        <f>PLATI!D141</f>
        <v>0</v>
      </c>
      <c r="G141" s="3126">
        <f t="shared" si="32"/>
        <v>13001800</v>
      </c>
    </row>
    <row r="142" spans="1:7" ht="30" customHeight="1">
      <c r="A142" s="3209" t="s">
        <v>2454</v>
      </c>
      <c r="B142" s="3187"/>
      <c r="C142" s="3197">
        <f t="shared" si="30"/>
        <v>20169105</v>
      </c>
      <c r="D142" s="3966">
        <v>7167305</v>
      </c>
      <c r="E142" s="3045">
        <v>13001800</v>
      </c>
      <c r="F142" s="3197">
        <f>PLATI!D142</f>
        <v>0</v>
      </c>
      <c r="G142" s="3200">
        <f t="shared" si="32"/>
        <v>13001800</v>
      </c>
    </row>
    <row r="143" spans="1:7" ht="130.15" customHeight="1">
      <c r="A143" s="3897" t="s">
        <v>2452</v>
      </c>
      <c r="B143" s="2719"/>
      <c r="C143" s="2720">
        <f t="shared" si="30"/>
        <v>0</v>
      </c>
      <c r="D143" s="2720"/>
      <c r="E143" s="2720"/>
      <c r="F143" s="2720">
        <f>PLATI!D143</f>
        <v>0</v>
      </c>
      <c r="G143" s="2724">
        <f t="shared" si="32"/>
        <v>0</v>
      </c>
    </row>
    <row r="144" spans="1:7" ht="25.5">
      <c r="A144" s="3159" t="s">
        <v>1545</v>
      </c>
      <c r="B144" s="3044"/>
      <c r="C144" s="3058">
        <f t="shared" si="30"/>
        <v>0</v>
      </c>
      <c r="D144" s="3058">
        <f t="shared" ref="D144:E144" si="42">D145+D146</f>
        <v>0</v>
      </c>
      <c r="E144" s="3058">
        <f t="shared" si="42"/>
        <v>0</v>
      </c>
      <c r="F144" s="3058">
        <f>PLATI!D144</f>
        <v>0</v>
      </c>
      <c r="G144" s="3126">
        <f t="shared" si="32"/>
        <v>0</v>
      </c>
    </row>
    <row r="145" spans="1:7" ht="18" customHeight="1">
      <c r="A145" s="3159" t="s">
        <v>2454</v>
      </c>
      <c r="B145" s="3044"/>
      <c r="C145" s="3045">
        <f t="shared" si="30"/>
        <v>0</v>
      </c>
      <c r="D145" s="3045"/>
      <c r="E145" s="3045"/>
      <c r="F145" s="3045">
        <f>PLATI!D145</f>
        <v>0</v>
      </c>
      <c r="G145" s="3047">
        <f t="shared" si="32"/>
        <v>0</v>
      </c>
    </row>
    <row r="146" spans="1:7" ht="102">
      <c r="A146" s="3159" t="s">
        <v>2452</v>
      </c>
      <c r="B146" s="3044"/>
      <c r="C146" s="3045">
        <f t="shared" si="30"/>
        <v>0</v>
      </c>
      <c r="D146" s="3045"/>
      <c r="E146" s="3045"/>
      <c r="F146" s="3045">
        <f>PLATI!D146</f>
        <v>0</v>
      </c>
      <c r="G146" s="3047">
        <f t="shared" si="32"/>
        <v>0</v>
      </c>
    </row>
    <row r="147" spans="1:7" ht="40.15" customHeight="1">
      <c r="A147" s="3159" t="s">
        <v>1546</v>
      </c>
      <c r="B147" s="3044"/>
      <c r="C147" s="3058">
        <f t="shared" si="30"/>
        <v>263554</v>
      </c>
      <c r="D147" s="3058">
        <f t="shared" ref="D147:E147" si="43">D148+D149</f>
        <v>88474</v>
      </c>
      <c r="E147" s="3058">
        <f t="shared" si="43"/>
        <v>175080</v>
      </c>
      <c r="F147" s="3058">
        <f>PLATI!D147</f>
        <v>0</v>
      </c>
      <c r="G147" s="3126">
        <f t="shared" si="32"/>
        <v>175080</v>
      </c>
    </row>
    <row r="148" spans="1:7" ht="27" customHeight="1">
      <c r="A148" s="3159" t="s">
        <v>2454</v>
      </c>
      <c r="B148" s="3044"/>
      <c r="C148" s="3045">
        <f t="shared" si="30"/>
        <v>263554</v>
      </c>
      <c r="D148" s="3967">
        <v>88474</v>
      </c>
      <c r="E148" s="3197">
        <v>175080</v>
      </c>
      <c r="F148" s="3045">
        <f>PLATI!D148</f>
        <v>0</v>
      </c>
      <c r="G148" s="3047">
        <f t="shared" si="32"/>
        <v>175080</v>
      </c>
    </row>
    <row r="149" spans="1:7" ht="102">
      <c r="A149" s="3159" t="s">
        <v>2452</v>
      </c>
      <c r="B149" s="3044"/>
      <c r="C149" s="3045">
        <f t="shared" si="30"/>
        <v>0</v>
      </c>
      <c r="D149" s="3045"/>
      <c r="E149" s="3045"/>
      <c r="F149" s="3045">
        <f>PLATI!D149</f>
        <v>0</v>
      </c>
      <c r="G149" s="3047">
        <f t="shared" si="32"/>
        <v>0</v>
      </c>
    </row>
    <row r="150" spans="1:7" ht="18" customHeight="1">
      <c r="A150" s="3159" t="s">
        <v>1547</v>
      </c>
      <c r="B150" s="3044"/>
      <c r="C150" s="3058">
        <f t="shared" si="30"/>
        <v>14059815</v>
      </c>
      <c r="D150" s="3058">
        <f t="shared" ref="D150:E150" si="44">D151++D152+D153</f>
        <v>4464765</v>
      </c>
      <c r="E150" s="3058">
        <f t="shared" si="44"/>
        <v>9595050</v>
      </c>
      <c r="F150" s="3058">
        <f>PLATI!D150</f>
        <v>0</v>
      </c>
      <c r="G150" s="3126">
        <f t="shared" si="32"/>
        <v>9595050</v>
      </c>
    </row>
    <row r="151" spans="1:7" ht="18" customHeight="1">
      <c r="A151" s="3159" t="s">
        <v>2454</v>
      </c>
      <c r="B151" s="3044"/>
      <c r="C151" s="3045">
        <f t="shared" si="30"/>
        <v>14059815</v>
      </c>
      <c r="D151" s="3966">
        <v>4464765</v>
      </c>
      <c r="E151" s="3045">
        <v>9595050</v>
      </c>
      <c r="F151" s="3045">
        <f>PLATI!D151</f>
        <v>0</v>
      </c>
      <c r="G151" s="3047">
        <f t="shared" si="32"/>
        <v>9595050</v>
      </c>
    </row>
    <row r="152" spans="1:7" ht="18" hidden="1" customHeight="1">
      <c r="A152" s="3159" t="s">
        <v>2475</v>
      </c>
      <c r="B152" s="3044"/>
      <c r="C152" s="3045">
        <f t="shared" si="30"/>
        <v>0</v>
      </c>
      <c r="D152" s="3045"/>
      <c r="E152" s="3045"/>
      <c r="F152" s="3045">
        <f>PLATI!D152</f>
        <v>0</v>
      </c>
      <c r="G152" s="3047">
        <f t="shared" si="32"/>
        <v>0</v>
      </c>
    </row>
    <row r="153" spans="1:7" ht="102">
      <c r="A153" s="3159" t="s">
        <v>2452</v>
      </c>
      <c r="B153" s="3044"/>
      <c r="C153" s="3045">
        <f t="shared" si="30"/>
        <v>0</v>
      </c>
      <c r="D153" s="3045"/>
      <c r="E153" s="3045"/>
      <c r="F153" s="3045">
        <f>PLATI!D153</f>
        <v>0</v>
      </c>
      <c r="G153" s="3047">
        <f t="shared" si="32"/>
        <v>0</v>
      </c>
    </row>
    <row r="154" spans="1:7" ht="25.5">
      <c r="A154" s="3159" t="s">
        <v>1548</v>
      </c>
      <c r="B154" s="3044"/>
      <c r="C154" s="3058">
        <f t="shared" si="30"/>
        <v>0</v>
      </c>
      <c r="D154" s="3058">
        <f t="shared" ref="D154:E154" si="45">D155+D156</f>
        <v>0</v>
      </c>
      <c r="E154" s="3058">
        <f t="shared" si="45"/>
        <v>0</v>
      </c>
      <c r="F154" s="3058">
        <f>PLATI!D154</f>
        <v>0</v>
      </c>
      <c r="G154" s="3126">
        <f t="shared" si="32"/>
        <v>0</v>
      </c>
    </row>
    <row r="155" spans="1:7" ht="18" customHeight="1">
      <c r="A155" s="3159" t="s">
        <v>2454</v>
      </c>
      <c r="B155" s="3044"/>
      <c r="C155" s="3045">
        <f t="shared" si="30"/>
        <v>0</v>
      </c>
      <c r="D155" s="3045"/>
      <c r="E155" s="3045"/>
      <c r="F155" s="3045">
        <f>PLATI!D155</f>
        <v>0</v>
      </c>
      <c r="G155" s="3047">
        <f t="shared" si="32"/>
        <v>0</v>
      </c>
    </row>
    <row r="156" spans="1:7" ht="102">
      <c r="A156" s="3159" t="s">
        <v>2452</v>
      </c>
      <c r="B156" s="3044"/>
      <c r="C156" s="3045">
        <f t="shared" si="30"/>
        <v>0</v>
      </c>
      <c r="D156" s="3045"/>
      <c r="E156" s="3045"/>
      <c r="F156" s="3045">
        <f>PLATI!D156</f>
        <v>0</v>
      </c>
      <c r="G156" s="3047">
        <f t="shared" si="32"/>
        <v>0</v>
      </c>
    </row>
    <row r="157" spans="1:7" s="3389" customFormat="1" ht="48">
      <c r="A157" s="3400" t="s">
        <v>1549</v>
      </c>
      <c r="B157" s="3125"/>
      <c r="C157" s="3113">
        <f t="shared" si="30"/>
        <v>13518598</v>
      </c>
      <c r="D157" s="3113">
        <f t="shared" ref="D157:E157" si="46">D158+D161+D162+D163+D164</f>
        <v>5388738</v>
      </c>
      <c r="E157" s="3113">
        <f t="shared" si="46"/>
        <v>8129860</v>
      </c>
      <c r="F157" s="3113">
        <f>PLATI!D157</f>
        <v>0</v>
      </c>
      <c r="G157" s="3114">
        <f t="shared" si="32"/>
        <v>8129860</v>
      </c>
    </row>
    <row r="158" spans="1:7" ht="38.25">
      <c r="A158" s="3171" t="s">
        <v>1550</v>
      </c>
      <c r="B158" s="3044"/>
      <c r="C158" s="3058">
        <f t="shared" si="30"/>
        <v>11995228</v>
      </c>
      <c r="D158" s="3058">
        <f t="shared" ref="D158:E158" si="47">D159+D160</f>
        <v>5388738</v>
      </c>
      <c r="E158" s="3058">
        <f t="shared" si="47"/>
        <v>6606490</v>
      </c>
      <c r="F158" s="3058">
        <f>PLATI!D158</f>
        <v>0</v>
      </c>
      <c r="G158" s="3126">
        <f t="shared" si="32"/>
        <v>6606490</v>
      </c>
    </row>
    <row r="159" spans="1:7" ht="18" customHeight="1">
      <c r="A159" s="3159" t="s">
        <v>2454</v>
      </c>
      <c r="B159" s="3044"/>
      <c r="C159" s="3045">
        <f t="shared" si="30"/>
        <v>11995228</v>
      </c>
      <c r="D159" s="3966">
        <v>5388738</v>
      </c>
      <c r="E159" s="3045">
        <v>6606490</v>
      </c>
      <c r="F159" s="3045">
        <f>PLATI!D159</f>
        <v>0</v>
      </c>
      <c r="G159" s="3047">
        <f t="shared" si="32"/>
        <v>6606490</v>
      </c>
    </row>
    <row r="160" spans="1:7" ht="102">
      <c r="A160" s="3159" t="s">
        <v>2452</v>
      </c>
      <c r="B160" s="3044"/>
      <c r="C160" s="3045">
        <f t="shared" si="30"/>
        <v>0</v>
      </c>
      <c r="D160" s="3045"/>
      <c r="E160" s="3045"/>
      <c r="F160" s="3045">
        <f>PLATI!D160</f>
        <v>0</v>
      </c>
      <c r="G160" s="3047">
        <f t="shared" si="32"/>
        <v>0</v>
      </c>
    </row>
    <row r="161" spans="1:7" ht="25.5">
      <c r="A161" s="3171" t="s">
        <v>2567</v>
      </c>
      <c r="B161" s="3044"/>
      <c r="C161" s="3045">
        <f t="shared" si="30"/>
        <v>0</v>
      </c>
      <c r="D161" s="3045"/>
      <c r="E161" s="3045"/>
      <c r="F161" s="3045">
        <f>PLATI!D161</f>
        <v>0</v>
      </c>
      <c r="G161" s="3047">
        <f t="shared" si="32"/>
        <v>0</v>
      </c>
    </row>
    <row r="162" spans="1:7" ht="46.9" customHeight="1">
      <c r="A162" s="3438" t="s">
        <v>2421</v>
      </c>
      <c r="B162" s="3187"/>
      <c r="C162" s="3197">
        <f t="shared" si="30"/>
        <v>1523370</v>
      </c>
      <c r="D162" s="3197"/>
      <c r="E162" s="3197">
        <v>1523370</v>
      </c>
      <c r="F162" s="3197">
        <f>PLATI!D162</f>
        <v>0</v>
      </c>
      <c r="G162" s="3200">
        <f t="shared" si="32"/>
        <v>1523370</v>
      </c>
    </row>
    <row r="163" spans="1:7" ht="25.5">
      <c r="A163" s="3911" t="s">
        <v>2292</v>
      </c>
      <c r="B163" s="2719"/>
      <c r="C163" s="2720">
        <f t="shared" si="30"/>
        <v>0</v>
      </c>
      <c r="D163" s="2720"/>
      <c r="E163" s="2720"/>
      <c r="F163" s="2720">
        <f>PLATI!D163</f>
        <v>0</v>
      </c>
      <c r="G163" s="2724">
        <f t="shared" si="32"/>
        <v>0</v>
      </c>
    </row>
    <row r="164" spans="1:7" ht="24">
      <c r="A164" s="3172" t="s">
        <v>2123</v>
      </c>
      <c r="B164" s="3044"/>
      <c r="C164" s="3058">
        <f t="shared" si="30"/>
        <v>0</v>
      </c>
      <c r="D164" s="3058">
        <f t="shared" ref="D164:E164" si="48">D165+D166</f>
        <v>0</v>
      </c>
      <c r="E164" s="3058">
        <f t="shared" si="48"/>
        <v>0</v>
      </c>
      <c r="F164" s="3058">
        <f>PLATI!D164</f>
        <v>0</v>
      </c>
      <c r="G164" s="3126">
        <f t="shared" si="32"/>
        <v>0</v>
      </c>
    </row>
    <row r="165" spans="1:7" ht="18" customHeight="1">
      <c r="A165" s="3173" t="s">
        <v>2454</v>
      </c>
      <c r="B165" s="3044"/>
      <c r="C165" s="3045">
        <f t="shared" si="30"/>
        <v>0</v>
      </c>
      <c r="D165" s="3045"/>
      <c r="E165" s="3045"/>
      <c r="F165" s="3045">
        <f>PLATI!D165</f>
        <v>0</v>
      </c>
      <c r="G165" s="3047">
        <f t="shared" si="32"/>
        <v>0</v>
      </c>
    </row>
    <row r="166" spans="1:7" ht="84">
      <c r="A166" s="3173" t="s">
        <v>2452</v>
      </c>
      <c r="B166" s="3044"/>
      <c r="C166" s="3045">
        <f t="shared" si="30"/>
        <v>0</v>
      </c>
      <c r="D166" s="3045"/>
      <c r="E166" s="3045"/>
      <c r="F166" s="3045">
        <f>PLATI!D166</f>
        <v>0</v>
      </c>
      <c r="G166" s="3047">
        <f t="shared" si="32"/>
        <v>0</v>
      </c>
    </row>
    <row r="167" spans="1:7" s="3389" customFormat="1" ht="38.25">
      <c r="A167" s="3124" t="s">
        <v>832</v>
      </c>
      <c r="B167" s="3125" t="s">
        <v>833</v>
      </c>
      <c r="C167" s="3113">
        <f t="shared" si="30"/>
        <v>2038538</v>
      </c>
      <c r="D167" s="3113">
        <f t="shared" ref="D167:E167" si="49">+D169+D172+D175+D178+D181+D182+D183+D186+D187+D188</f>
        <v>675878</v>
      </c>
      <c r="E167" s="3113">
        <f t="shared" si="49"/>
        <v>1362660</v>
      </c>
      <c r="F167" s="3113">
        <f>PLATI!D167</f>
        <v>0</v>
      </c>
      <c r="G167" s="3114">
        <f t="shared" si="32"/>
        <v>1362660</v>
      </c>
    </row>
    <row r="168" spans="1:7" s="3389" customFormat="1" ht="14.25" hidden="1">
      <c r="A168" s="3401" t="s">
        <v>1539</v>
      </c>
      <c r="B168" s="3397"/>
      <c r="C168" s="3402">
        <f t="shared" si="30"/>
        <v>0</v>
      </c>
      <c r="D168" s="3402"/>
      <c r="E168" s="3402"/>
      <c r="F168" s="3402">
        <f>PLATI!D168</f>
        <v>0</v>
      </c>
      <c r="G168" s="3403">
        <f t="shared" si="32"/>
        <v>0</v>
      </c>
    </row>
    <row r="169" spans="1:7" ht="18" customHeight="1">
      <c r="A169" s="3159" t="s">
        <v>1544</v>
      </c>
      <c r="B169" s="3044"/>
      <c r="C169" s="3058">
        <f t="shared" si="30"/>
        <v>1603032</v>
      </c>
      <c r="D169" s="3058">
        <f t="shared" ref="D169:E169" si="50">D170+D171</f>
        <v>536742</v>
      </c>
      <c r="E169" s="3058">
        <f t="shared" si="50"/>
        <v>1066290</v>
      </c>
      <c r="F169" s="3058">
        <f>PLATI!D169</f>
        <v>0</v>
      </c>
      <c r="G169" s="3126">
        <f t="shared" si="32"/>
        <v>1066290</v>
      </c>
    </row>
    <row r="170" spans="1:7" ht="18" customHeight="1">
      <c r="A170" s="3159" t="s">
        <v>2454</v>
      </c>
      <c r="B170" s="3044"/>
      <c r="C170" s="3045">
        <f t="shared" si="30"/>
        <v>1603032</v>
      </c>
      <c r="D170" s="3966">
        <v>536742</v>
      </c>
      <c r="E170" s="3045">
        <v>1066290</v>
      </c>
      <c r="F170" s="3045">
        <f>PLATI!D170</f>
        <v>0</v>
      </c>
      <c r="G170" s="3047">
        <f t="shared" si="32"/>
        <v>1066290</v>
      </c>
    </row>
    <row r="171" spans="1:7" ht="102">
      <c r="A171" s="3159" t="s">
        <v>2452</v>
      </c>
      <c r="B171" s="3044"/>
      <c r="C171" s="3045">
        <f t="shared" si="30"/>
        <v>0</v>
      </c>
      <c r="D171" s="3045"/>
      <c r="E171" s="3045"/>
      <c r="F171" s="3045">
        <f>PLATI!D171</f>
        <v>0</v>
      </c>
      <c r="G171" s="3047">
        <f t="shared" si="32"/>
        <v>0</v>
      </c>
    </row>
    <row r="172" spans="1:7" ht="63.75">
      <c r="A172" s="3159" t="s">
        <v>2056</v>
      </c>
      <c r="B172" s="3044"/>
      <c r="C172" s="3058">
        <f t="shared" si="30"/>
        <v>194378</v>
      </c>
      <c r="D172" s="3058">
        <f t="shared" ref="D172:E172" si="51">D173+D174</f>
        <v>20668</v>
      </c>
      <c r="E172" s="3058">
        <f t="shared" si="51"/>
        <v>173710</v>
      </c>
      <c r="F172" s="3058">
        <f>PLATI!D172</f>
        <v>0</v>
      </c>
      <c r="G172" s="3126">
        <f t="shared" si="32"/>
        <v>173710</v>
      </c>
    </row>
    <row r="173" spans="1:7" ht="18" customHeight="1">
      <c r="A173" s="3159" t="s">
        <v>2454</v>
      </c>
      <c r="B173" s="3044"/>
      <c r="C173" s="3045">
        <f t="shared" si="30"/>
        <v>194378</v>
      </c>
      <c r="D173" s="3966">
        <v>20668</v>
      </c>
      <c r="E173" s="3045">
        <v>173710</v>
      </c>
      <c r="F173" s="3045">
        <f>PLATI!D173</f>
        <v>0</v>
      </c>
      <c r="G173" s="3047">
        <f t="shared" si="32"/>
        <v>173710</v>
      </c>
    </row>
    <row r="174" spans="1:7" ht="102">
      <c r="A174" s="3159" t="s">
        <v>2452</v>
      </c>
      <c r="B174" s="3044"/>
      <c r="C174" s="3045">
        <f t="shared" si="30"/>
        <v>0</v>
      </c>
      <c r="D174" s="3045"/>
      <c r="E174" s="3045"/>
      <c r="F174" s="3045">
        <f>PLATI!D174</f>
        <v>0</v>
      </c>
      <c r="G174" s="3047">
        <f t="shared" si="32"/>
        <v>0</v>
      </c>
    </row>
    <row r="175" spans="1:7" ht="18" customHeight="1">
      <c r="A175" s="3159" t="s">
        <v>1551</v>
      </c>
      <c r="B175" s="3044"/>
      <c r="C175" s="3058">
        <f t="shared" si="30"/>
        <v>241128</v>
      </c>
      <c r="D175" s="3058">
        <f t="shared" ref="D175:E175" si="52">D176+D177</f>
        <v>118468</v>
      </c>
      <c r="E175" s="3058">
        <f t="shared" si="52"/>
        <v>122660</v>
      </c>
      <c r="F175" s="3058">
        <f>PLATI!D175</f>
        <v>0</v>
      </c>
      <c r="G175" s="3126">
        <f t="shared" si="32"/>
        <v>122660</v>
      </c>
    </row>
    <row r="176" spans="1:7" ht="18" customHeight="1">
      <c r="A176" s="3159" t="s">
        <v>2454</v>
      </c>
      <c r="B176" s="3044"/>
      <c r="C176" s="3045">
        <f t="shared" si="30"/>
        <v>241128</v>
      </c>
      <c r="D176" s="3967">
        <v>118468</v>
      </c>
      <c r="E176" s="3197">
        <v>122660</v>
      </c>
      <c r="F176" s="3045">
        <f>PLATI!D176</f>
        <v>0</v>
      </c>
      <c r="G176" s="3047">
        <f t="shared" si="32"/>
        <v>122660</v>
      </c>
    </row>
    <row r="177" spans="1:7" ht="102">
      <c r="A177" s="3159" t="s">
        <v>2452</v>
      </c>
      <c r="B177" s="3044"/>
      <c r="C177" s="3045">
        <f t="shared" si="30"/>
        <v>0</v>
      </c>
      <c r="D177" s="3045"/>
      <c r="E177" s="3045"/>
      <c r="F177" s="3045">
        <f>PLATI!D177</f>
        <v>0</v>
      </c>
      <c r="G177" s="3047">
        <f t="shared" si="32"/>
        <v>0</v>
      </c>
    </row>
    <row r="178" spans="1:7" ht="25.5">
      <c r="A178" s="3159" t="s">
        <v>1552</v>
      </c>
      <c r="B178" s="3044"/>
      <c r="C178" s="3058">
        <f>C179+C180</f>
        <v>0</v>
      </c>
      <c r="D178" s="3058">
        <f>D179+D180</f>
        <v>0</v>
      </c>
      <c r="E178" s="3058">
        <f>E179+E180</f>
        <v>0</v>
      </c>
      <c r="F178" s="3058">
        <f>PLATI!D178</f>
        <v>0</v>
      </c>
      <c r="G178" s="3126">
        <f t="shared" ref="G178:G243" si="53">E178+F178</f>
        <v>0</v>
      </c>
    </row>
    <row r="179" spans="1:7" ht="14.25">
      <c r="A179" s="3159" t="s">
        <v>2454</v>
      </c>
      <c r="B179" s="3044"/>
      <c r="C179" s="3058">
        <f t="shared" ref="C179:C243" si="54">D179+E179</f>
        <v>0</v>
      </c>
      <c r="D179" s="3045"/>
      <c r="E179" s="3045"/>
      <c r="F179" s="3058">
        <f>PLATI!D179</f>
        <v>0</v>
      </c>
      <c r="G179" s="3126">
        <f t="shared" si="53"/>
        <v>0</v>
      </c>
    </row>
    <row r="180" spans="1:7" ht="102">
      <c r="A180" s="3159" t="s">
        <v>2452</v>
      </c>
      <c r="B180" s="3044"/>
      <c r="C180" s="3058">
        <f t="shared" si="54"/>
        <v>0</v>
      </c>
      <c r="D180" s="3045"/>
      <c r="E180" s="3045"/>
      <c r="F180" s="3058">
        <f>PLATI!D180</f>
        <v>0</v>
      </c>
      <c r="G180" s="3126">
        <f t="shared" si="53"/>
        <v>0</v>
      </c>
    </row>
    <row r="181" spans="1:7" ht="25.5">
      <c r="A181" s="3159" t="s">
        <v>1553</v>
      </c>
      <c r="B181" s="3044"/>
      <c r="C181" s="3045">
        <f t="shared" si="54"/>
        <v>0</v>
      </c>
      <c r="D181" s="3045"/>
      <c r="E181" s="3045"/>
      <c r="F181" s="3058">
        <f>PLATI!D181</f>
        <v>0</v>
      </c>
      <c r="G181" s="3126">
        <f t="shared" si="53"/>
        <v>0</v>
      </c>
    </row>
    <row r="182" spans="1:7" ht="25.5">
      <c r="A182" s="3159" t="s">
        <v>1554</v>
      </c>
      <c r="B182" s="3044"/>
      <c r="C182" s="3045">
        <f t="shared" si="54"/>
        <v>0</v>
      </c>
      <c r="D182" s="3045"/>
      <c r="E182" s="3045"/>
      <c r="F182" s="3045">
        <f>PLATI!D182</f>
        <v>0</v>
      </c>
      <c r="G182" s="3047">
        <f t="shared" si="53"/>
        <v>0</v>
      </c>
    </row>
    <row r="183" spans="1:7" ht="25.5">
      <c r="A183" s="3159" t="s">
        <v>1555</v>
      </c>
      <c r="B183" s="3044"/>
      <c r="C183" s="3058">
        <f t="shared" si="54"/>
        <v>0</v>
      </c>
      <c r="D183" s="3058">
        <f t="shared" ref="D183:E183" si="55">D184+D185</f>
        <v>0</v>
      </c>
      <c r="E183" s="3058">
        <f t="shared" si="55"/>
        <v>0</v>
      </c>
      <c r="F183" s="3058">
        <f>PLATI!D183</f>
        <v>0</v>
      </c>
      <c r="G183" s="3126">
        <f t="shared" si="53"/>
        <v>0</v>
      </c>
    </row>
    <row r="184" spans="1:7" ht="18" customHeight="1">
      <c r="A184" s="3159" t="s">
        <v>2454</v>
      </c>
      <c r="B184" s="3044"/>
      <c r="C184" s="3045">
        <f t="shared" si="54"/>
        <v>0</v>
      </c>
      <c r="D184" s="3045"/>
      <c r="E184" s="3045"/>
      <c r="F184" s="3045">
        <f>PLATI!D184</f>
        <v>0</v>
      </c>
      <c r="G184" s="3047">
        <f t="shared" si="53"/>
        <v>0</v>
      </c>
    </row>
    <row r="185" spans="1:7" ht="117.6" customHeight="1">
      <c r="A185" s="3209" t="s">
        <v>2452</v>
      </c>
      <c r="B185" s="3187"/>
      <c r="C185" s="3197">
        <f t="shared" si="54"/>
        <v>0</v>
      </c>
      <c r="D185" s="3197"/>
      <c r="E185" s="3197"/>
      <c r="F185" s="3197">
        <f>PLATI!D185</f>
        <v>0</v>
      </c>
      <c r="G185" s="3200">
        <f t="shared" si="53"/>
        <v>0</v>
      </c>
    </row>
    <row r="186" spans="1:7" ht="51">
      <c r="A186" s="3899" t="s">
        <v>2568</v>
      </c>
      <c r="B186" s="3912"/>
      <c r="C186" s="3913">
        <f t="shared" si="54"/>
        <v>0</v>
      </c>
      <c r="D186" s="3913"/>
      <c r="E186" s="3913"/>
      <c r="F186" s="3913">
        <f>PLATI!D186</f>
        <v>0</v>
      </c>
      <c r="G186" s="3914">
        <f t="shared" si="53"/>
        <v>0</v>
      </c>
    </row>
    <row r="187" spans="1:7" ht="38.25">
      <c r="A187" s="3159" t="s">
        <v>1557</v>
      </c>
      <c r="B187" s="3044"/>
      <c r="C187" s="3045">
        <f t="shared" si="54"/>
        <v>0</v>
      </c>
      <c r="D187" s="3045"/>
      <c r="E187" s="3045"/>
      <c r="F187" s="3045">
        <f>PLATI!D187</f>
        <v>0</v>
      </c>
      <c r="G187" s="3047">
        <f t="shared" si="53"/>
        <v>0</v>
      </c>
    </row>
    <row r="188" spans="1:7" s="3389" customFormat="1" ht="38.25">
      <c r="A188" s="3404" t="s">
        <v>1558</v>
      </c>
      <c r="B188" s="3125"/>
      <c r="C188" s="3113">
        <f t="shared" si="54"/>
        <v>0</v>
      </c>
      <c r="D188" s="3113">
        <f t="shared" ref="D188:E188" si="56">ROUND(+D189+D192+D193+D196,1)</f>
        <v>0</v>
      </c>
      <c r="E188" s="3113">
        <f t="shared" si="56"/>
        <v>0</v>
      </c>
      <c r="F188" s="3113">
        <f>PLATI!D188</f>
        <v>0</v>
      </c>
      <c r="G188" s="3114">
        <f t="shared" si="53"/>
        <v>0</v>
      </c>
    </row>
    <row r="189" spans="1:7" ht="25.5">
      <c r="A189" s="3159" t="s">
        <v>1264</v>
      </c>
      <c r="B189" s="3044"/>
      <c r="C189" s="3058">
        <f t="shared" si="54"/>
        <v>0</v>
      </c>
      <c r="D189" s="3058">
        <f t="shared" ref="D189:E189" si="57">D190+D191</f>
        <v>0</v>
      </c>
      <c r="E189" s="3058">
        <f t="shared" si="57"/>
        <v>0</v>
      </c>
      <c r="F189" s="3058">
        <f>PLATI!D189</f>
        <v>0</v>
      </c>
      <c r="G189" s="3126">
        <f t="shared" si="53"/>
        <v>0</v>
      </c>
    </row>
    <row r="190" spans="1:7" ht="18" customHeight="1">
      <c r="A190" s="3159" t="s">
        <v>2454</v>
      </c>
      <c r="B190" s="3044"/>
      <c r="C190" s="3045">
        <f t="shared" si="54"/>
        <v>0</v>
      </c>
      <c r="D190" s="3045"/>
      <c r="E190" s="3045"/>
      <c r="F190" s="3045">
        <f>PLATI!D190</f>
        <v>0</v>
      </c>
      <c r="G190" s="3047">
        <f t="shared" si="53"/>
        <v>0</v>
      </c>
    </row>
    <row r="191" spans="1:7" ht="102">
      <c r="A191" s="3159" t="s">
        <v>2452</v>
      </c>
      <c r="B191" s="3044"/>
      <c r="C191" s="3045">
        <f t="shared" si="54"/>
        <v>0</v>
      </c>
      <c r="D191" s="3045"/>
      <c r="E191" s="3045"/>
      <c r="F191" s="3045">
        <f>PLATI!D191</f>
        <v>0</v>
      </c>
      <c r="G191" s="3047">
        <f t="shared" si="53"/>
        <v>0</v>
      </c>
    </row>
    <row r="192" spans="1:7" ht="38.25">
      <c r="A192" s="3159" t="s">
        <v>1559</v>
      </c>
      <c r="B192" s="3044"/>
      <c r="C192" s="3045">
        <f t="shared" si="54"/>
        <v>0</v>
      </c>
      <c r="D192" s="3045"/>
      <c r="E192" s="3045"/>
      <c r="F192" s="3045">
        <f>PLATI!D192</f>
        <v>0</v>
      </c>
      <c r="G192" s="3047">
        <f t="shared" si="53"/>
        <v>0</v>
      </c>
    </row>
    <row r="193" spans="1:7" ht="38.25">
      <c r="A193" s="3159" t="s">
        <v>1266</v>
      </c>
      <c r="B193" s="3044"/>
      <c r="C193" s="3058">
        <f t="shared" si="54"/>
        <v>0</v>
      </c>
      <c r="D193" s="3058">
        <f t="shared" ref="D193:E193" si="58">D194+D195</f>
        <v>0</v>
      </c>
      <c r="E193" s="3058">
        <f t="shared" si="58"/>
        <v>0</v>
      </c>
      <c r="F193" s="3058">
        <f>PLATI!D193</f>
        <v>0</v>
      </c>
      <c r="G193" s="3126">
        <f t="shared" si="53"/>
        <v>0</v>
      </c>
    </row>
    <row r="194" spans="1:7" ht="18" customHeight="1">
      <c r="A194" s="3159" t="s">
        <v>2454</v>
      </c>
      <c r="B194" s="3044"/>
      <c r="C194" s="3045">
        <f t="shared" si="54"/>
        <v>0</v>
      </c>
      <c r="D194" s="3045"/>
      <c r="E194" s="3045"/>
      <c r="F194" s="3045">
        <f>PLATI!D194</f>
        <v>0</v>
      </c>
      <c r="G194" s="3047">
        <f t="shared" si="53"/>
        <v>0</v>
      </c>
    </row>
    <row r="195" spans="1:7" ht="102">
      <c r="A195" s="3159" t="s">
        <v>2452</v>
      </c>
      <c r="B195" s="3044"/>
      <c r="C195" s="3045">
        <f t="shared" si="54"/>
        <v>0</v>
      </c>
      <c r="D195" s="3045"/>
      <c r="E195" s="3045"/>
      <c r="F195" s="3045">
        <f>PLATI!D195</f>
        <v>0</v>
      </c>
      <c r="G195" s="3047">
        <f t="shared" si="53"/>
        <v>0</v>
      </c>
    </row>
    <row r="196" spans="1:7" ht="38.25">
      <c r="A196" s="3159" t="s">
        <v>1267</v>
      </c>
      <c r="B196" s="3044"/>
      <c r="C196" s="3045">
        <f t="shared" si="54"/>
        <v>0</v>
      </c>
      <c r="D196" s="3045"/>
      <c r="E196" s="3045"/>
      <c r="F196" s="3045">
        <f>PLATI!D196</f>
        <v>0</v>
      </c>
      <c r="G196" s="3047">
        <f t="shared" si="53"/>
        <v>0</v>
      </c>
    </row>
    <row r="197" spans="1:7" s="3389" customFormat="1" ht="25.5">
      <c r="A197" s="3124" t="s">
        <v>834</v>
      </c>
      <c r="B197" s="3125" t="s">
        <v>835</v>
      </c>
      <c r="C197" s="3113">
        <f t="shared" si="54"/>
        <v>16708951</v>
      </c>
      <c r="D197" s="3113">
        <f t="shared" ref="D197:E197" si="59">D198+D199</f>
        <v>1919091</v>
      </c>
      <c r="E197" s="3113">
        <f t="shared" si="59"/>
        <v>14789860</v>
      </c>
      <c r="F197" s="3113">
        <f>PLATI!D197</f>
        <v>0</v>
      </c>
      <c r="G197" s="3114">
        <f t="shared" si="53"/>
        <v>14789860</v>
      </c>
    </row>
    <row r="198" spans="1:7" ht="18" customHeight="1">
      <c r="A198" s="3159" t="s">
        <v>2454</v>
      </c>
      <c r="B198" s="3052"/>
      <c r="C198" s="3053">
        <f t="shared" si="54"/>
        <v>16708951</v>
      </c>
      <c r="D198" s="3965">
        <v>1919091</v>
      </c>
      <c r="E198" s="3053">
        <v>14789860</v>
      </c>
      <c r="F198" s="3053">
        <f>PLATI!D198</f>
        <v>0</v>
      </c>
      <c r="G198" s="3055">
        <f t="shared" si="53"/>
        <v>14789860</v>
      </c>
    </row>
    <row r="199" spans="1:7" ht="102">
      <c r="A199" s="3159" t="s">
        <v>2452</v>
      </c>
      <c r="B199" s="3052"/>
      <c r="C199" s="3053">
        <f t="shared" si="54"/>
        <v>0</v>
      </c>
      <c r="D199" s="3053"/>
      <c r="E199" s="3053"/>
      <c r="F199" s="3053">
        <f>PLATI!D199</f>
        <v>0</v>
      </c>
      <c r="G199" s="3055">
        <f t="shared" si="53"/>
        <v>0</v>
      </c>
    </row>
    <row r="200" spans="1:7" s="3389" customFormat="1" ht="18" customHeight="1">
      <c r="A200" s="3124" t="s">
        <v>836</v>
      </c>
      <c r="B200" s="3125" t="s">
        <v>837</v>
      </c>
      <c r="C200" s="3113">
        <f t="shared" si="54"/>
        <v>3967639</v>
      </c>
      <c r="D200" s="3113">
        <f t="shared" ref="D200:E200" si="60">D201+D202</f>
        <v>367639</v>
      </c>
      <c r="E200" s="3113">
        <f t="shared" si="60"/>
        <v>3600000</v>
      </c>
      <c r="F200" s="3113">
        <f>PLATI!D200</f>
        <v>0</v>
      </c>
      <c r="G200" s="3114">
        <f t="shared" si="53"/>
        <v>3600000</v>
      </c>
    </row>
    <row r="201" spans="1:7" ht="18" customHeight="1">
      <c r="A201" s="3159" t="s">
        <v>2454</v>
      </c>
      <c r="B201" s="3052"/>
      <c r="C201" s="3053">
        <f t="shared" si="54"/>
        <v>3967639</v>
      </c>
      <c r="D201" s="3965">
        <v>367639</v>
      </c>
      <c r="E201" s="3053">
        <v>3600000</v>
      </c>
      <c r="F201" s="3053">
        <f>PLATI!D201</f>
        <v>0</v>
      </c>
      <c r="G201" s="3055">
        <f t="shared" si="53"/>
        <v>3600000</v>
      </c>
    </row>
    <row r="202" spans="1:7" ht="102">
      <c r="A202" s="3159" t="s">
        <v>2452</v>
      </c>
      <c r="B202" s="3052"/>
      <c r="C202" s="3053">
        <f t="shared" si="54"/>
        <v>0</v>
      </c>
      <c r="D202" s="3053"/>
      <c r="E202" s="3053"/>
      <c r="F202" s="3053">
        <f>PLATI!D202</f>
        <v>0</v>
      </c>
      <c r="G202" s="3055">
        <f t="shared" si="53"/>
        <v>0</v>
      </c>
    </row>
    <row r="203" spans="1:7" s="3389" customFormat="1" ht="18" customHeight="1">
      <c r="A203" s="3396" t="s">
        <v>838</v>
      </c>
      <c r="B203" s="3397" t="s">
        <v>839</v>
      </c>
      <c r="C203" s="3113">
        <f t="shared" si="54"/>
        <v>94603312</v>
      </c>
      <c r="D203" s="3113">
        <f t="shared" ref="D203:E203" si="61">ROUND(+D204+D212+D218+D222+D236,1)</f>
        <v>6465862</v>
      </c>
      <c r="E203" s="3113">
        <f t="shared" si="61"/>
        <v>88137450</v>
      </c>
      <c r="F203" s="3113">
        <f>PLATI!D203</f>
        <v>-8736</v>
      </c>
      <c r="G203" s="3114">
        <f t="shared" si="53"/>
        <v>88128714</v>
      </c>
    </row>
    <row r="204" spans="1:7" s="3389" customFormat="1" ht="18" customHeight="1">
      <c r="A204" s="3124" t="s">
        <v>1597</v>
      </c>
      <c r="B204" s="3125" t="s">
        <v>841</v>
      </c>
      <c r="C204" s="3113">
        <f t="shared" si="54"/>
        <v>56632528</v>
      </c>
      <c r="D204" s="3113">
        <f t="shared" ref="D204:E204" si="62">+D205+D206+D207+D209+D208+D210+D211</f>
        <v>3163528</v>
      </c>
      <c r="E204" s="3113">
        <f t="shared" si="62"/>
        <v>53469000</v>
      </c>
      <c r="F204" s="3113">
        <f>PLATI!D204</f>
        <v>-321</v>
      </c>
      <c r="G204" s="3114">
        <f t="shared" si="53"/>
        <v>53468679</v>
      </c>
    </row>
    <row r="205" spans="1:7" ht="18" customHeight="1">
      <c r="A205" s="3159" t="s">
        <v>1539</v>
      </c>
      <c r="B205" s="3044"/>
      <c r="C205" s="3045">
        <f t="shared" si="54"/>
        <v>52076243</v>
      </c>
      <c r="D205" s="3967">
        <v>2953243</v>
      </c>
      <c r="E205" s="3045">
        <v>49123000</v>
      </c>
      <c r="F205" s="3045">
        <f>PLATI!D205</f>
        <v>-321</v>
      </c>
      <c r="G205" s="3047">
        <f t="shared" si="53"/>
        <v>49122679</v>
      </c>
    </row>
    <row r="206" spans="1:7" ht="18" customHeight="1">
      <c r="A206" s="3159" t="s">
        <v>1560</v>
      </c>
      <c r="B206" s="3044"/>
      <c r="C206" s="3045">
        <f t="shared" si="54"/>
        <v>2735600</v>
      </c>
      <c r="D206" s="2720">
        <v>177600</v>
      </c>
      <c r="E206" s="3045">
        <v>2558000</v>
      </c>
      <c r="F206" s="3045">
        <f>PLATI!D206</f>
        <v>0</v>
      </c>
      <c r="G206" s="3047">
        <f t="shared" si="53"/>
        <v>2558000</v>
      </c>
    </row>
    <row r="207" spans="1:7" ht="57.6" customHeight="1">
      <c r="A207" s="3209" t="s">
        <v>2206</v>
      </c>
      <c r="B207" s="3187"/>
      <c r="C207" s="3197">
        <f t="shared" si="54"/>
        <v>136785</v>
      </c>
      <c r="D207" s="3966">
        <v>1785</v>
      </c>
      <c r="E207" s="3045">
        <v>135000</v>
      </c>
      <c r="F207" s="3197">
        <f>PLATI!D207</f>
        <v>0</v>
      </c>
      <c r="G207" s="3200">
        <f t="shared" si="53"/>
        <v>135000</v>
      </c>
    </row>
    <row r="208" spans="1:7" ht="51" hidden="1">
      <c r="A208" s="3897" t="s">
        <v>2417</v>
      </c>
      <c r="B208" s="2719"/>
      <c r="C208" s="2720">
        <f t="shared" si="54"/>
        <v>0</v>
      </c>
      <c r="D208" s="3966">
        <v>0</v>
      </c>
      <c r="E208" s="3045"/>
      <c r="F208" s="2720">
        <f>PLATI!D208</f>
        <v>0</v>
      </c>
      <c r="G208" s="2724">
        <f t="shared" si="53"/>
        <v>0</v>
      </c>
    </row>
    <row r="209" spans="1:7" ht="60">
      <c r="A209" s="3173" t="s">
        <v>2418</v>
      </c>
      <c r="B209" s="3044"/>
      <c r="C209" s="3045">
        <f t="shared" si="54"/>
        <v>381900</v>
      </c>
      <c r="D209" s="3966">
        <v>30900</v>
      </c>
      <c r="E209" s="3045">
        <v>351000</v>
      </c>
      <c r="F209" s="3045">
        <f>PLATI!D209</f>
        <v>0</v>
      </c>
      <c r="G209" s="3047">
        <f t="shared" si="53"/>
        <v>351000</v>
      </c>
    </row>
    <row r="210" spans="1:7" ht="102">
      <c r="A210" s="3159" t="s">
        <v>2452</v>
      </c>
      <c r="B210" s="3044"/>
      <c r="C210" s="3045">
        <f t="shared" si="54"/>
        <v>0</v>
      </c>
      <c r="D210" s="3045"/>
      <c r="E210" s="3045"/>
      <c r="F210" s="3045">
        <f>PLATI!D210</f>
        <v>0</v>
      </c>
      <c r="G210" s="3047">
        <f t="shared" si="53"/>
        <v>0</v>
      </c>
    </row>
    <row r="211" spans="1:7" ht="76.5">
      <c r="A211" s="3159" t="s">
        <v>2569</v>
      </c>
      <c r="B211" s="3044"/>
      <c r="C211" s="3045">
        <f t="shared" si="54"/>
        <v>1302000</v>
      </c>
      <c r="D211" s="3045"/>
      <c r="E211" s="3045">
        <v>1302000</v>
      </c>
      <c r="F211" s="3045">
        <f>PLATI!D211</f>
        <v>0</v>
      </c>
      <c r="G211" s="3047">
        <f t="shared" si="53"/>
        <v>1302000</v>
      </c>
    </row>
    <row r="212" spans="1:7" s="3389" customFormat="1" ht="25.5">
      <c r="A212" s="3124" t="s">
        <v>842</v>
      </c>
      <c r="B212" s="3125" t="s">
        <v>843</v>
      </c>
      <c r="C212" s="3113">
        <f t="shared" si="54"/>
        <v>22968404</v>
      </c>
      <c r="D212" s="3113">
        <f t="shared" ref="D212:E212" si="63">D213+D214+D215+D216+D217</f>
        <v>2176404</v>
      </c>
      <c r="E212" s="3113">
        <f t="shared" si="63"/>
        <v>20792000</v>
      </c>
      <c r="F212" s="3113">
        <f>PLATI!D212</f>
        <v>-5575</v>
      </c>
      <c r="G212" s="3114">
        <f t="shared" si="53"/>
        <v>20786425</v>
      </c>
    </row>
    <row r="213" spans="1:7" ht="18" customHeight="1">
      <c r="A213" s="3176" t="s">
        <v>1539</v>
      </c>
      <c r="B213" s="3052"/>
      <c r="C213" s="3053">
        <f t="shared" si="54"/>
        <v>22968404</v>
      </c>
      <c r="D213" s="3965">
        <v>2176404</v>
      </c>
      <c r="E213" s="3053">
        <v>20792000</v>
      </c>
      <c r="F213" s="3053">
        <f>PLATI!D213</f>
        <v>-5575</v>
      </c>
      <c r="G213" s="3055">
        <f t="shared" si="53"/>
        <v>20786425</v>
      </c>
    </row>
    <row r="214" spans="1:7" ht="48">
      <c r="A214" s="3177" t="s">
        <v>2294</v>
      </c>
      <c r="B214" s="3052"/>
      <c r="C214" s="3053">
        <f t="shared" si="54"/>
        <v>0</v>
      </c>
      <c r="D214" s="3053"/>
      <c r="E214" s="3053"/>
      <c r="F214" s="3053">
        <f>PLATI!D214</f>
        <v>0</v>
      </c>
      <c r="G214" s="3055">
        <f t="shared" si="53"/>
        <v>0</v>
      </c>
    </row>
    <row r="215" spans="1:7" ht="90">
      <c r="A215" s="3405" t="s">
        <v>2328</v>
      </c>
      <c r="B215" s="3052"/>
      <c r="C215" s="3053">
        <f t="shared" si="54"/>
        <v>0</v>
      </c>
      <c r="D215" s="3053"/>
      <c r="E215" s="3053"/>
      <c r="F215" s="3053">
        <f>PLATI!D215</f>
        <v>0</v>
      </c>
      <c r="G215" s="3055">
        <f t="shared" si="53"/>
        <v>0</v>
      </c>
    </row>
    <row r="216" spans="1:7" ht="102">
      <c r="A216" s="3159" t="s">
        <v>2452</v>
      </c>
      <c r="B216" s="3052"/>
      <c r="C216" s="3053">
        <f t="shared" si="54"/>
        <v>0</v>
      </c>
      <c r="D216" s="3053"/>
      <c r="E216" s="3053"/>
      <c r="F216" s="3053">
        <f>PLATI!D216</f>
        <v>0</v>
      </c>
      <c r="G216" s="3055">
        <f t="shared" si="53"/>
        <v>0</v>
      </c>
    </row>
    <row r="217" spans="1:7" ht="51">
      <c r="A217" s="3159" t="s">
        <v>2570</v>
      </c>
      <c r="B217" s="3052"/>
      <c r="C217" s="3053">
        <f t="shared" si="54"/>
        <v>0</v>
      </c>
      <c r="D217" s="3053"/>
      <c r="E217" s="3053"/>
      <c r="F217" s="3053">
        <f>PLATI!D217</f>
        <v>0</v>
      </c>
      <c r="G217" s="3055">
        <f t="shared" si="53"/>
        <v>0</v>
      </c>
    </row>
    <row r="218" spans="1:7" s="3389" customFormat="1" ht="18" customHeight="1">
      <c r="A218" s="3124" t="s">
        <v>844</v>
      </c>
      <c r="B218" s="3125" t="s">
        <v>845</v>
      </c>
      <c r="C218" s="3113">
        <f t="shared" si="54"/>
        <v>1616661</v>
      </c>
      <c r="D218" s="3113">
        <f t="shared" ref="D218:E218" si="64">D219+D220+D221</f>
        <v>86661</v>
      </c>
      <c r="E218" s="3113">
        <f t="shared" si="64"/>
        <v>1530000</v>
      </c>
      <c r="F218" s="3113">
        <f>PLATI!D218</f>
        <v>-468</v>
      </c>
      <c r="G218" s="3114">
        <f t="shared" si="53"/>
        <v>1529532</v>
      </c>
    </row>
    <row r="219" spans="1:7" ht="24" customHeight="1">
      <c r="A219" s="3159" t="s">
        <v>1539</v>
      </c>
      <c r="B219" s="3044"/>
      <c r="C219" s="3045">
        <f t="shared" si="54"/>
        <v>1616661</v>
      </c>
      <c r="D219" s="3966">
        <v>86661</v>
      </c>
      <c r="E219" s="3045">
        <v>1530000</v>
      </c>
      <c r="F219" s="3045">
        <f>PLATI!D219</f>
        <v>-468</v>
      </c>
      <c r="G219" s="3047">
        <f t="shared" si="53"/>
        <v>1529532</v>
      </c>
    </row>
    <row r="220" spans="1:7" ht="24" customHeight="1">
      <c r="A220" s="3159" t="s">
        <v>1540</v>
      </c>
      <c r="B220" s="3044"/>
      <c r="C220" s="3045">
        <f t="shared" si="54"/>
        <v>0</v>
      </c>
      <c r="D220" s="3045"/>
      <c r="E220" s="3045"/>
      <c r="F220" s="3045">
        <f>PLATI!D220</f>
        <v>0</v>
      </c>
      <c r="G220" s="3047">
        <f t="shared" si="53"/>
        <v>0</v>
      </c>
    </row>
    <row r="221" spans="1:7" ht="119.45" customHeight="1">
      <c r="A221" s="3159" t="s">
        <v>2452</v>
      </c>
      <c r="B221" s="3044"/>
      <c r="C221" s="3045">
        <f t="shared" si="54"/>
        <v>0</v>
      </c>
      <c r="D221" s="3045"/>
      <c r="E221" s="3045"/>
      <c r="F221" s="3045">
        <f>PLATI!D221</f>
        <v>0</v>
      </c>
      <c r="G221" s="3047">
        <f t="shared" si="53"/>
        <v>0</v>
      </c>
    </row>
    <row r="222" spans="1:7" s="3389" customFormat="1" ht="25.5">
      <c r="A222" s="3124" t="s">
        <v>2267</v>
      </c>
      <c r="B222" s="3125" t="s">
        <v>847</v>
      </c>
      <c r="C222" s="3113">
        <f t="shared" si="54"/>
        <v>11831911</v>
      </c>
      <c r="D222" s="3113">
        <f t="shared" ref="D222:E222" si="65">D223+D225+D234+D224</f>
        <v>965461</v>
      </c>
      <c r="E222" s="3113">
        <f t="shared" si="65"/>
        <v>10866450</v>
      </c>
      <c r="F222" s="3113">
        <f>PLATI!D222</f>
        <v>-1916</v>
      </c>
      <c r="G222" s="3114">
        <f t="shared" si="53"/>
        <v>10864534</v>
      </c>
    </row>
    <row r="223" spans="1:7" ht="18" customHeight="1">
      <c r="A223" s="3159" t="s">
        <v>1539</v>
      </c>
      <c r="B223" s="3044"/>
      <c r="C223" s="3045">
        <f t="shared" si="54"/>
        <v>11831911</v>
      </c>
      <c r="D223" s="3966">
        <v>965461</v>
      </c>
      <c r="E223" s="3045">
        <v>10866450</v>
      </c>
      <c r="F223" s="3045">
        <f>PLATI!D223</f>
        <v>-1916</v>
      </c>
      <c r="G223" s="3047">
        <f t="shared" si="53"/>
        <v>10864534</v>
      </c>
    </row>
    <row r="224" spans="1:7" ht="102">
      <c r="A224" s="3159" t="s">
        <v>2452</v>
      </c>
      <c r="B224" s="3044"/>
      <c r="C224" s="3045">
        <f t="shared" si="54"/>
        <v>0</v>
      </c>
      <c r="D224" s="3045"/>
      <c r="E224" s="3045"/>
      <c r="F224" s="3045">
        <f>PLATI!D224</f>
        <v>0</v>
      </c>
      <c r="G224" s="3047">
        <f t="shared" si="53"/>
        <v>0</v>
      </c>
    </row>
    <row r="225" spans="1:7" ht="25.5">
      <c r="A225" s="3178" t="s">
        <v>2295</v>
      </c>
      <c r="B225" s="3163"/>
      <c r="C225" s="3164">
        <f t="shared" si="54"/>
        <v>0</v>
      </c>
      <c r="D225" s="3164">
        <f t="shared" ref="D225:E225" si="66">D226+D230+D233+D227+D235</f>
        <v>0</v>
      </c>
      <c r="E225" s="3164">
        <f t="shared" si="66"/>
        <v>0</v>
      </c>
      <c r="F225" s="3179">
        <f>PLATI!D225</f>
        <v>0</v>
      </c>
      <c r="G225" s="3165">
        <f t="shared" si="53"/>
        <v>0</v>
      </c>
    </row>
    <row r="226" spans="1:7" ht="43.15" customHeight="1">
      <c r="A226" s="3376" t="s">
        <v>1561</v>
      </c>
      <c r="B226" s="3187"/>
      <c r="C226" s="3197">
        <f t="shared" si="54"/>
        <v>0</v>
      </c>
      <c r="D226" s="3197"/>
      <c r="E226" s="3197"/>
      <c r="F226" s="3197">
        <f>PLATI!D226</f>
        <v>0</v>
      </c>
      <c r="G226" s="3200">
        <f t="shared" si="53"/>
        <v>0</v>
      </c>
    </row>
    <row r="227" spans="1:7" ht="18" customHeight="1">
      <c r="A227" s="3895" t="s">
        <v>2419</v>
      </c>
      <c r="B227" s="2719"/>
      <c r="C227" s="2723">
        <f t="shared" si="54"/>
        <v>0</v>
      </c>
      <c r="D227" s="2723">
        <f t="shared" ref="D227:E227" si="67">D228+D229</f>
        <v>0</v>
      </c>
      <c r="E227" s="2723">
        <f t="shared" si="67"/>
        <v>0</v>
      </c>
      <c r="F227" s="2723">
        <f>PLATI!D227</f>
        <v>0</v>
      </c>
      <c r="G227" s="3211">
        <f t="shared" si="53"/>
        <v>0</v>
      </c>
    </row>
    <row r="228" spans="1:7" ht="18" customHeight="1">
      <c r="A228" s="3159" t="s">
        <v>2454</v>
      </c>
      <c r="B228" s="3044"/>
      <c r="C228" s="3045">
        <f t="shared" si="54"/>
        <v>0</v>
      </c>
      <c r="D228" s="3045"/>
      <c r="E228" s="3045"/>
      <c r="F228" s="3045">
        <f>PLATI!D228</f>
        <v>0</v>
      </c>
      <c r="G228" s="3047">
        <f t="shared" si="53"/>
        <v>0</v>
      </c>
    </row>
    <row r="229" spans="1:7" ht="102">
      <c r="A229" s="3159" t="s">
        <v>2452</v>
      </c>
      <c r="B229" s="3044"/>
      <c r="C229" s="3045">
        <f t="shared" si="54"/>
        <v>0</v>
      </c>
      <c r="D229" s="3045"/>
      <c r="E229" s="3045"/>
      <c r="F229" s="3045">
        <f>PLATI!D229</f>
        <v>0</v>
      </c>
      <c r="G229" s="3047">
        <f t="shared" si="53"/>
        <v>0</v>
      </c>
    </row>
    <row r="230" spans="1:7" ht="36">
      <c r="A230" s="3173" t="s">
        <v>1796</v>
      </c>
      <c r="B230" s="3044"/>
      <c r="C230" s="3058">
        <f t="shared" si="54"/>
        <v>0</v>
      </c>
      <c r="D230" s="3058">
        <f t="shared" ref="D230:E230" si="68">+D231+D232</f>
        <v>0</v>
      </c>
      <c r="E230" s="3058">
        <f t="shared" si="68"/>
        <v>0</v>
      </c>
      <c r="F230" s="3058">
        <f>PLATI!D230</f>
        <v>0</v>
      </c>
      <c r="G230" s="3126">
        <f t="shared" si="53"/>
        <v>0</v>
      </c>
    </row>
    <row r="231" spans="1:7" ht="18" customHeight="1">
      <c r="A231" s="3159" t="s">
        <v>2454</v>
      </c>
      <c r="B231" s="3044"/>
      <c r="C231" s="3045">
        <f t="shared" si="54"/>
        <v>0</v>
      </c>
      <c r="D231" s="3045"/>
      <c r="E231" s="3045"/>
      <c r="F231" s="3045">
        <f>PLATI!D231</f>
        <v>0</v>
      </c>
      <c r="G231" s="3047">
        <f t="shared" si="53"/>
        <v>0</v>
      </c>
    </row>
    <row r="232" spans="1:7" ht="102">
      <c r="A232" s="3159" t="s">
        <v>2452</v>
      </c>
      <c r="B232" s="3044"/>
      <c r="C232" s="3045">
        <f t="shared" si="54"/>
        <v>0</v>
      </c>
      <c r="D232" s="3045"/>
      <c r="E232" s="3045"/>
      <c r="F232" s="3045">
        <f>PLATI!D232</f>
        <v>0</v>
      </c>
      <c r="G232" s="3047">
        <f t="shared" si="53"/>
        <v>0</v>
      </c>
    </row>
    <row r="233" spans="1:7" ht="36">
      <c r="A233" s="3173" t="s">
        <v>1565</v>
      </c>
      <c r="B233" s="3044"/>
      <c r="C233" s="3045">
        <f t="shared" si="54"/>
        <v>0</v>
      </c>
      <c r="D233" s="3045"/>
      <c r="E233" s="3045"/>
      <c r="F233" s="3045">
        <f>PLATI!D233</f>
        <v>0</v>
      </c>
      <c r="G233" s="3047">
        <f t="shared" si="53"/>
        <v>0</v>
      </c>
    </row>
    <row r="234" spans="1:7" ht="48">
      <c r="A234" s="3173" t="s">
        <v>2294</v>
      </c>
      <c r="B234" s="3044"/>
      <c r="C234" s="3045">
        <f t="shared" si="54"/>
        <v>0</v>
      </c>
      <c r="D234" s="3045"/>
      <c r="E234" s="3045"/>
      <c r="F234" s="3045">
        <f>PLATI!D234</f>
        <v>0</v>
      </c>
      <c r="G234" s="3047">
        <f t="shared" si="53"/>
        <v>0</v>
      </c>
    </row>
    <row r="235" spans="1:7" ht="25.5">
      <c r="A235" s="3159" t="s">
        <v>2571</v>
      </c>
      <c r="B235" s="3044"/>
      <c r="C235" s="3045">
        <f t="shared" si="54"/>
        <v>0</v>
      </c>
      <c r="D235" s="3045"/>
      <c r="E235" s="3045"/>
      <c r="F235" s="3045">
        <f>PLATI!D235</f>
        <v>0</v>
      </c>
      <c r="G235" s="3047">
        <f t="shared" si="53"/>
        <v>0</v>
      </c>
    </row>
    <row r="236" spans="1:7" s="3389" customFormat="1" ht="38.25">
      <c r="A236" s="3124" t="s">
        <v>1598</v>
      </c>
      <c r="B236" s="3125" t="s">
        <v>849</v>
      </c>
      <c r="C236" s="3113">
        <f t="shared" si="54"/>
        <v>1553808</v>
      </c>
      <c r="D236" s="3113">
        <f t="shared" ref="D236:E236" si="69">+D237+D238+D239+D240</f>
        <v>73808</v>
      </c>
      <c r="E236" s="3113">
        <f t="shared" si="69"/>
        <v>1480000</v>
      </c>
      <c r="F236" s="3113">
        <f>PLATI!D236</f>
        <v>-456</v>
      </c>
      <c r="G236" s="3114">
        <f t="shared" si="53"/>
        <v>1479544</v>
      </c>
    </row>
    <row r="237" spans="1:7" ht="18" customHeight="1">
      <c r="A237" s="3159" t="s">
        <v>1539</v>
      </c>
      <c r="B237" s="3044"/>
      <c r="C237" s="3045">
        <f t="shared" si="54"/>
        <v>1553808</v>
      </c>
      <c r="D237" s="3966">
        <v>73808</v>
      </c>
      <c r="E237" s="3045">
        <v>1480000</v>
      </c>
      <c r="F237" s="3045">
        <f>PLATI!D237</f>
        <v>-456</v>
      </c>
      <c r="G237" s="3047">
        <f t="shared" si="53"/>
        <v>1479544</v>
      </c>
    </row>
    <row r="238" spans="1:7" ht="18" customHeight="1">
      <c r="A238" s="3159" t="s">
        <v>1540</v>
      </c>
      <c r="B238" s="3044"/>
      <c r="C238" s="3045">
        <f t="shared" si="54"/>
        <v>0</v>
      </c>
      <c r="D238" s="3045"/>
      <c r="E238" s="3045"/>
      <c r="F238" s="3045">
        <f>PLATI!D238</f>
        <v>0</v>
      </c>
      <c r="G238" s="3047">
        <f t="shared" si="53"/>
        <v>0</v>
      </c>
    </row>
    <row r="239" spans="1:7" ht="48">
      <c r="A239" s="3180" t="s">
        <v>2294</v>
      </c>
      <c r="B239" s="3062"/>
      <c r="C239" s="3053">
        <f t="shared" si="54"/>
        <v>0</v>
      </c>
      <c r="D239" s="3053"/>
      <c r="E239" s="3053"/>
      <c r="F239" s="3045">
        <f>PLATI!D239</f>
        <v>0</v>
      </c>
      <c r="G239" s="3055">
        <f t="shared" si="53"/>
        <v>0</v>
      </c>
    </row>
    <row r="240" spans="1:7" ht="102">
      <c r="A240" s="3159" t="s">
        <v>2452</v>
      </c>
      <c r="B240" s="3062"/>
      <c r="C240" s="3053">
        <f t="shared" si="54"/>
        <v>0</v>
      </c>
      <c r="D240" s="3053"/>
      <c r="E240" s="3053"/>
      <c r="F240" s="3045">
        <f>PLATI!D240</f>
        <v>0</v>
      </c>
      <c r="G240" s="3055">
        <f t="shared" si="53"/>
        <v>0</v>
      </c>
    </row>
    <row r="241" spans="1:7" s="3389" customFormat="1" ht="25.5">
      <c r="A241" s="3396" t="s">
        <v>850</v>
      </c>
      <c r="B241" s="3397" t="s">
        <v>851</v>
      </c>
      <c r="C241" s="3113">
        <f t="shared" si="54"/>
        <v>524255</v>
      </c>
      <c r="D241" s="3113">
        <f t="shared" ref="D241:E241" si="70">D242+D243</f>
        <v>32255</v>
      </c>
      <c r="E241" s="3113">
        <f t="shared" si="70"/>
        <v>492000</v>
      </c>
      <c r="F241" s="3113">
        <f>PLATI!D241</f>
        <v>0</v>
      </c>
      <c r="G241" s="3114">
        <f t="shared" si="53"/>
        <v>492000</v>
      </c>
    </row>
    <row r="242" spans="1:7" ht="18" customHeight="1">
      <c r="A242" s="3159" t="s">
        <v>2454</v>
      </c>
      <c r="B242" s="3163"/>
      <c r="C242" s="3053">
        <f t="shared" si="54"/>
        <v>524255</v>
      </c>
      <c r="D242" s="3965">
        <v>32255</v>
      </c>
      <c r="E242" s="3053">
        <v>492000</v>
      </c>
      <c r="F242" s="3053">
        <f>PLATI!D242</f>
        <v>0</v>
      </c>
      <c r="G242" s="3055">
        <f t="shared" si="53"/>
        <v>492000</v>
      </c>
    </row>
    <row r="243" spans="1:7" ht="102">
      <c r="A243" s="3159" t="s">
        <v>2452</v>
      </c>
      <c r="B243" s="3163"/>
      <c r="C243" s="3053">
        <f t="shared" si="54"/>
        <v>0</v>
      </c>
      <c r="D243" s="3053"/>
      <c r="E243" s="3053"/>
      <c r="F243" s="3053">
        <f>PLATI!D243</f>
        <v>0</v>
      </c>
      <c r="G243" s="3055">
        <f t="shared" si="53"/>
        <v>0</v>
      </c>
    </row>
    <row r="244" spans="1:7" s="3389" customFormat="1" ht="25.5">
      <c r="A244" s="3396" t="s">
        <v>852</v>
      </c>
      <c r="B244" s="3397" t="s">
        <v>853</v>
      </c>
      <c r="C244" s="3113">
        <f t="shared" ref="C244:C277" si="71">D244+E244</f>
        <v>111410022</v>
      </c>
      <c r="D244" s="3113">
        <f t="shared" ref="D244:E244" si="72">ROUND(+D245+D262,1)</f>
        <v>8057743</v>
      </c>
      <c r="E244" s="3113">
        <f t="shared" si="72"/>
        <v>103352279</v>
      </c>
      <c r="F244" s="3113">
        <f>PLATI!D244</f>
        <v>-74072</v>
      </c>
      <c r="G244" s="3114">
        <f t="shared" ref="G244:G285" si="73">E244+F244</f>
        <v>103278207</v>
      </c>
    </row>
    <row r="245" spans="1:7" s="3389" customFormat="1" ht="18" customHeight="1">
      <c r="A245" s="3124" t="s">
        <v>2299</v>
      </c>
      <c r="B245" s="3125" t="s">
        <v>855</v>
      </c>
      <c r="C245" s="3113">
        <f t="shared" si="71"/>
        <v>111410022</v>
      </c>
      <c r="D245" s="3113">
        <f t="shared" ref="D245:E245" si="74">D246+D247+D248+D249+D250+D252+D255+D258+D261</f>
        <v>8057743</v>
      </c>
      <c r="E245" s="3113">
        <f t="shared" si="74"/>
        <v>103352279</v>
      </c>
      <c r="F245" s="3113">
        <f>PLATI!D245</f>
        <v>-74072</v>
      </c>
      <c r="G245" s="3114">
        <f t="shared" si="73"/>
        <v>103278207</v>
      </c>
    </row>
    <row r="246" spans="1:7" ht="18" customHeight="1">
      <c r="A246" s="3159" t="s">
        <v>1539</v>
      </c>
      <c r="B246" s="3044"/>
      <c r="C246" s="3045">
        <f t="shared" si="71"/>
        <v>107726090</v>
      </c>
      <c r="D246" s="3966">
        <v>7806811</v>
      </c>
      <c r="E246" s="3045">
        <v>99919279</v>
      </c>
      <c r="F246" s="3045">
        <f>PLATI!D246</f>
        <v>-51663</v>
      </c>
      <c r="G246" s="3047">
        <f t="shared" si="73"/>
        <v>99867616</v>
      </c>
    </row>
    <row r="247" spans="1:7" ht="48">
      <c r="A247" s="3173" t="s">
        <v>2294</v>
      </c>
      <c r="B247" s="3044"/>
      <c r="C247" s="3045">
        <f t="shared" si="71"/>
        <v>0</v>
      </c>
      <c r="D247" s="3045">
        <v>0</v>
      </c>
      <c r="E247" s="3045"/>
      <c r="F247" s="3045">
        <f>PLATI!D247</f>
        <v>0</v>
      </c>
      <c r="G247" s="3047">
        <f t="shared" si="73"/>
        <v>0</v>
      </c>
    </row>
    <row r="248" spans="1:7" ht="111.6" customHeight="1">
      <c r="A248" s="3209" t="s">
        <v>2452</v>
      </c>
      <c r="B248" s="3187"/>
      <c r="C248" s="3197">
        <f t="shared" si="71"/>
        <v>0</v>
      </c>
      <c r="D248" s="3197"/>
      <c r="E248" s="3197"/>
      <c r="F248" s="3197">
        <f>PLATI!D248</f>
        <v>0</v>
      </c>
      <c r="G248" s="3200">
        <f t="shared" si="73"/>
        <v>0</v>
      </c>
    </row>
    <row r="249" spans="1:7" ht="60" customHeight="1">
      <c r="A249" s="3897" t="s">
        <v>2455</v>
      </c>
      <c r="B249" s="2719"/>
      <c r="C249" s="2720">
        <f t="shared" si="71"/>
        <v>0</v>
      </c>
      <c r="D249" s="2720"/>
      <c r="E249" s="2720"/>
      <c r="F249" s="2720">
        <f>PLATI!D249</f>
        <v>0</v>
      </c>
      <c r="G249" s="2724">
        <f t="shared" si="73"/>
        <v>0</v>
      </c>
    </row>
    <row r="250" spans="1:7" ht="25.5">
      <c r="A250" s="3159" t="s">
        <v>2481</v>
      </c>
      <c r="B250" s="3044"/>
      <c r="C250" s="3045">
        <f t="shared" si="71"/>
        <v>3683932</v>
      </c>
      <c r="D250" s="3966">
        <v>250932</v>
      </c>
      <c r="E250" s="3045">
        <v>3433000</v>
      </c>
      <c r="F250" s="3045">
        <f>PLATI!D250</f>
        <v>-22409</v>
      </c>
      <c r="G250" s="3047">
        <f t="shared" si="73"/>
        <v>3410591</v>
      </c>
    </row>
    <row r="251" spans="1:7" ht="25.5">
      <c r="A251" s="3178" t="s">
        <v>2296</v>
      </c>
      <c r="B251" s="3163"/>
      <c r="C251" s="3164">
        <f t="shared" si="71"/>
        <v>0</v>
      </c>
      <c r="D251" s="3164">
        <f t="shared" ref="D251:E251" si="75">D252+D255+D258+D261</f>
        <v>0</v>
      </c>
      <c r="E251" s="3164">
        <f t="shared" si="75"/>
        <v>0</v>
      </c>
      <c r="F251" s="3164">
        <f>PLATI!D251</f>
        <v>0</v>
      </c>
      <c r="G251" s="3165">
        <f t="shared" si="73"/>
        <v>0</v>
      </c>
    </row>
    <row r="252" spans="1:7" ht="76.5">
      <c r="A252" s="3159" t="s">
        <v>1564</v>
      </c>
      <c r="B252" s="3044"/>
      <c r="C252" s="3058">
        <f t="shared" si="71"/>
        <v>0</v>
      </c>
      <c r="D252" s="3058">
        <f t="shared" ref="D252:E252" si="76">D253+D254</f>
        <v>0</v>
      </c>
      <c r="E252" s="3058">
        <f t="shared" si="76"/>
        <v>0</v>
      </c>
      <c r="F252" s="3058">
        <f>PLATI!D252</f>
        <v>0</v>
      </c>
      <c r="G252" s="3126">
        <f t="shared" si="73"/>
        <v>0</v>
      </c>
    </row>
    <row r="253" spans="1:7" ht="18" customHeight="1">
      <c r="A253" s="3159" t="s">
        <v>2454</v>
      </c>
      <c r="B253" s="3044"/>
      <c r="C253" s="3045">
        <f t="shared" si="71"/>
        <v>0</v>
      </c>
      <c r="D253" s="3045"/>
      <c r="E253" s="3045"/>
      <c r="F253" s="3045">
        <f>PLATI!D253</f>
        <v>0</v>
      </c>
      <c r="G253" s="3047">
        <f t="shared" si="73"/>
        <v>0</v>
      </c>
    </row>
    <row r="254" spans="1:7" ht="102">
      <c r="A254" s="3159" t="s">
        <v>2452</v>
      </c>
      <c r="B254" s="3044"/>
      <c r="C254" s="3045">
        <f t="shared" si="71"/>
        <v>0</v>
      </c>
      <c r="D254" s="3045"/>
      <c r="E254" s="3045"/>
      <c r="F254" s="3045">
        <f>PLATI!D254</f>
        <v>0</v>
      </c>
      <c r="G254" s="3047">
        <f t="shared" si="73"/>
        <v>0</v>
      </c>
    </row>
    <row r="255" spans="1:7" ht="36">
      <c r="A255" s="3181" t="s">
        <v>1797</v>
      </c>
      <c r="B255" s="3062"/>
      <c r="C255" s="3117">
        <f t="shared" si="71"/>
        <v>0</v>
      </c>
      <c r="D255" s="3117">
        <f t="shared" ref="D255:E255" si="77">D256+D257</f>
        <v>0</v>
      </c>
      <c r="E255" s="3117">
        <f t="shared" si="77"/>
        <v>0</v>
      </c>
      <c r="F255" s="3053">
        <f>PLATI!D255</f>
        <v>0</v>
      </c>
      <c r="G255" s="3161">
        <f t="shared" si="73"/>
        <v>0</v>
      </c>
    </row>
    <row r="256" spans="1:7" ht="18" customHeight="1">
      <c r="A256" s="3173" t="s">
        <v>2454</v>
      </c>
      <c r="B256" s="3062"/>
      <c r="C256" s="3053">
        <f t="shared" si="71"/>
        <v>0</v>
      </c>
      <c r="D256" s="3053"/>
      <c r="E256" s="3053"/>
      <c r="F256" s="3053">
        <f>PLATI!D256</f>
        <v>0</v>
      </c>
      <c r="G256" s="3055">
        <f t="shared" si="73"/>
        <v>0</v>
      </c>
    </row>
    <row r="257" spans="1:7" ht="84">
      <c r="A257" s="3173" t="s">
        <v>2452</v>
      </c>
      <c r="B257" s="3062"/>
      <c r="C257" s="3053">
        <f t="shared" si="71"/>
        <v>0</v>
      </c>
      <c r="D257" s="3053"/>
      <c r="E257" s="3053"/>
      <c r="F257" s="3053">
        <f>PLATI!D257</f>
        <v>0</v>
      </c>
      <c r="G257" s="3055">
        <f t="shared" si="73"/>
        <v>0</v>
      </c>
    </row>
    <row r="258" spans="1:7" ht="24">
      <c r="A258" s="3182" t="s">
        <v>1801</v>
      </c>
      <c r="B258" s="3062"/>
      <c r="C258" s="3117">
        <f t="shared" si="71"/>
        <v>0</v>
      </c>
      <c r="D258" s="3117">
        <f t="shared" ref="D258:E258" si="78">D259+D260</f>
        <v>0</v>
      </c>
      <c r="E258" s="3117">
        <f t="shared" si="78"/>
        <v>0</v>
      </c>
      <c r="F258" s="3117">
        <f>PLATI!D258</f>
        <v>0</v>
      </c>
      <c r="G258" s="3161">
        <f t="shared" si="73"/>
        <v>0</v>
      </c>
    </row>
    <row r="259" spans="1:7" ht="18" customHeight="1">
      <c r="A259" s="3159" t="s">
        <v>2454</v>
      </c>
      <c r="B259" s="3062"/>
      <c r="C259" s="3053">
        <f t="shared" si="71"/>
        <v>0</v>
      </c>
      <c r="D259" s="3053"/>
      <c r="E259" s="3053"/>
      <c r="F259" s="3053">
        <f>PLATI!D259</f>
        <v>0</v>
      </c>
      <c r="G259" s="3055">
        <f t="shared" si="73"/>
        <v>0</v>
      </c>
    </row>
    <row r="260" spans="1:7" ht="102">
      <c r="A260" s="3159" t="s">
        <v>2452</v>
      </c>
      <c r="B260" s="3062"/>
      <c r="C260" s="3053">
        <f t="shared" si="71"/>
        <v>0</v>
      </c>
      <c r="D260" s="3053"/>
      <c r="E260" s="3053"/>
      <c r="F260" s="3053">
        <f>PLATI!D260</f>
        <v>0</v>
      </c>
      <c r="G260" s="3055">
        <f t="shared" si="73"/>
        <v>0</v>
      </c>
    </row>
    <row r="261" spans="1:7" ht="18" customHeight="1">
      <c r="A261" s="3159" t="s">
        <v>2572</v>
      </c>
      <c r="B261" s="3062"/>
      <c r="C261" s="3053">
        <f t="shared" si="71"/>
        <v>0</v>
      </c>
      <c r="D261" s="3053"/>
      <c r="E261" s="3053"/>
      <c r="F261" s="3053">
        <f>PLATI!D261</f>
        <v>0</v>
      </c>
      <c r="G261" s="3055">
        <f t="shared" si="73"/>
        <v>0</v>
      </c>
    </row>
    <row r="262" spans="1:7" s="3389" customFormat="1" ht="25.5">
      <c r="A262" s="3124" t="s">
        <v>1599</v>
      </c>
      <c r="B262" s="3125" t="s">
        <v>857</v>
      </c>
      <c r="C262" s="3113">
        <f t="shared" si="71"/>
        <v>0</v>
      </c>
      <c r="D262" s="3113">
        <f t="shared" ref="D262:E262" si="79">D263+D264+D265+D266</f>
        <v>0</v>
      </c>
      <c r="E262" s="3113">
        <f t="shared" si="79"/>
        <v>0</v>
      </c>
      <c r="F262" s="3113">
        <f>PLATI!D262</f>
        <v>0</v>
      </c>
      <c r="G262" s="3114">
        <f t="shared" si="73"/>
        <v>0</v>
      </c>
    </row>
    <row r="263" spans="1:7" ht="18" customHeight="1">
      <c r="A263" s="3159" t="s">
        <v>1539</v>
      </c>
      <c r="B263" s="3044"/>
      <c r="C263" s="3045">
        <f t="shared" si="71"/>
        <v>0</v>
      </c>
      <c r="D263" s="3045"/>
      <c r="E263" s="3045"/>
      <c r="F263" s="3045">
        <f>PLATI!D263</f>
        <v>0</v>
      </c>
      <c r="G263" s="3047">
        <f t="shared" si="73"/>
        <v>0</v>
      </c>
    </row>
    <row r="264" spans="1:7" ht="18" customHeight="1">
      <c r="A264" s="3159" t="s">
        <v>1540</v>
      </c>
      <c r="B264" s="3044"/>
      <c r="C264" s="3045">
        <f t="shared" si="71"/>
        <v>0</v>
      </c>
      <c r="D264" s="3045"/>
      <c r="E264" s="3045"/>
      <c r="F264" s="3045">
        <f>PLATI!D264</f>
        <v>0</v>
      </c>
      <c r="G264" s="3047">
        <f t="shared" si="73"/>
        <v>0</v>
      </c>
    </row>
    <row r="265" spans="1:7" ht="102">
      <c r="A265" s="3159" t="s">
        <v>2452</v>
      </c>
      <c r="B265" s="3044"/>
      <c r="C265" s="3045">
        <f t="shared" si="71"/>
        <v>0</v>
      </c>
      <c r="D265" s="3045"/>
      <c r="E265" s="3045"/>
      <c r="F265" s="3045">
        <f>PLATI!D265</f>
        <v>0</v>
      </c>
      <c r="G265" s="3047">
        <f t="shared" si="73"/>
        <v>0</v>
      </c>
    </row>
    <row r="266" spans="1:7" ht="25.5">
      <c r="A266" s="3159" t="s">
        <v>2481</v>
      </c>
      <c r="B266" s="3044"/>
      <c r="C266" s="3045">
        <f t="shared" si="71"/>
        <v>0</v>
      </c>
      <c r="D266" s="3045"/>
      <c r="E266" s="3045"/>
      <c r="F266" s="3045">
        <f>PLATI!D266</f>
        <v>0</v>
      </c>
      <c r="G266" s="3047">
        <f t="shared" si="73"/>
        <v>0</v>
      </c>
    </row>
    <row r="267" spans="1:7" s="3389" customFormat="1" ht="18" customHeight="1">
      <c r="A267" s="3396" t="s">
        <v>858</v>
      </c>
      <c r="B267" s="3397" t="s">
        <v>859</v>
      </c>
      <c r="C267" s="3131">
        <f t="shared" si="71"/>
        <v>115117</v>
      </c>
      <c r="D267" s="3212">
        <v>8117</v>
      </c>
      <c r="E267" s="3212">
        <v>107000</v>
      </c>
      <c r="F267" s="3131">
        <f>PLATI!D267</f>
        <v>0</v>
      </c>
      <c r="G267" s="3184">
        <f t="shared" si="73"/>
        <v>107000</v>
      </c>
    </row>
    <row r="268" spans="1:7" s="3389" customFormat="1" ht="25.5">
      <c r="A268" s="3396" t="s">
        <v>860</v>
      </c>
      <c r="B268" s="3397" t="s">
        <v>861</v>
      </c>
      <c r="C268" s="3131">
        <f t="shared" si="71"/>
        <v>587084</v>
      </c>
      <c r="D268" s="3131"/>
      <c r="E268" s="3131">
        <v>587084</v>
      </c>
      <c r="F268" s="3131">
        <f>PLATI!D268</f>
        <v>-29312</v>
      </c>
      <c r="G268" s="3184">
        <f t="shared" si="73"/>
        <v>557772</v>
      </c>
    </row>
    <row r="269" spans="1:7" s="3389" customFormat="1" ht="25.5">
      <c r="A269" s="3124" t="s">
        <v>1566</v>
      </c>
      <c r="B269" s="3125" t="s">
        <v>1567</v>
      </c>
      <c r="C269" s="3113">
        <f t="shared" si="71"/>
        <v>9580511</v>
      </c>
      <c r="D269" s="3113">
        <f t="shared" ref="D269:E269" si="80">ROUND(D270,1)</f>
        <v>0</v>
      </c>
      <c r="E269" s="3113">
        <f t="shared" si="80"/>
        <v>9580511</v>
      </c>
      <c r="F269" s="3113">
        <f>PLATI!D269</f>
        <v>-40534</v>
      </c>
      <c r="G269" s="3114">
        <f t="shared" si="73"/>
        <v>9539977</v>
      </c>
    </row>
    <row r="270" spans="1:7" s="3389" customFormat="1" ht="18" customHeight="1">
      <c r="A270" s="3124" t="s">
        <v>878</v>
      </c>
      <c r="B270" s="3125" t="s">
        <v>879</v>
      </c>
      <c r="C270" s="3113">
        <f t="shared" si="71"/>
        <v>9580511</v>
      </c>
      <c r="D270" s="3113">
        <f t="shared" ref="D270:E270" si="81">ROUND(D275+D277,1)</f>
        <v>0</v>
      </c>
      <c r="E270" s="3113">
        <f t="shared" si="81"/>
        <v>9580511</v>
      </c>
      <c r="F270" s="3113">
        <f>PLATI!D270</f>
        <v>-40534</v>
      </c>
      <c r="G270" s="3114">
        <f t="shared" si="73"/>
        <v>9539977</v>
      </c>
    </row>
    <row r="271" spans="1:7" s="3389" customFormat="1" ht="18" customHeight="1">
      <c r="A271" s="3124" t="s">
        <v>1578</v>
      </c>
      <c r="B271" s="3125" t="s">
        <v>1861</v>
      </c>
      <c r="C271" s="3113">
        <f t="shared" si="71"/>
        <v>9580511</v>
      </c>
      <c r="D271" s="3113">
        <f t="shared" ref="D271" si="82">+D276+D277</f>
        <v>0</v>
      </c>
      <c r="E271" s="3113">
        <f>+E276+E277-E278</f>
        <v>9580511</v>
      </c>
      <c r="F271" s="3113">
        <f>PLATI!D271</f>
        <v>-40534</v>
      </c>
      <c r="G271" s="3114">
        <f t="shared" si="73"/>
        <v>9539977</v>
      </c>
    </row>
    <row r="272" spans="1:7" s="3389" customFormat="1" ht="18" customHeight="1">
      <c r="A272" s="3124" t="s">
        <v>1862</v>
      </c>
      <c r="B272" s="3125" t="s">
        <v>985</v>
      </c>
      <c r="C272" s="3113">
        <f t="shared" si="71"/>
        <v>9580511</v>
      </c>
      <c r="D272" s="3113">
        <f t="shared" ref="D272:E273" si="83">ROUND(D273,1)</f>
        <v>0</v>
      </c>
      <c r="E272" s="3113">
        <f t="shared" si="83"/>
        <v>9580511</v>
      </c>
      <c r="F272" s="3113">
        <f>PLATI!D272</f>
        <v>-40534</v>
      </c>
      <c r="G272" s="3114">
        <f t="shared" si="73"/>
        <v>9539977</v>
      </c>
    </row>
    <row r="273" spans="1:7" s="3389" customFormat="1" ht="18" customHeight="1">
      <c r="A273" s="3124" t="s">
        <v>1568</v>
      </c>
      <c r="B273" s="3125" t="s">
        <v>987</v>
      </c>
      <c r="C273" s="3113">
        <f t="shared" si="71"/>
        <v>9580511</v>
      </c>
      <c r="D273" s="3113">
        <f t="shared" si="83"/>
        <v>0</v>
      </c>
      <c r="E273" s="3113">
        <f t="shared" si="83"/>
        <v>9580511</v>
      </c>
      <c r="F273" s="3113">
        <f>PLATI!D273</f>
        <v>-40534</v>
      </c>
      <c r="G273" s="3114">
        <f t="shared" si="73"/>
        <v>9539977</v>
      </c>
    </row>
    <row r="274" spans="1:7" s="3389" customFormat="1" ht="18" customHeight="1">
      <c r="A274" s="3124" t="s">
        <v>1569</v>
      </c>
      <c r="B274" s="3125" t="s">
        <v>989</v>
      </c>
      <c r="C274" s="3113">
        <f t="shared" si="71"/>
        <v>9580511</v>
      </c>
      <c r="D274" s="3113">
        <f t="shared" ref="D274" si="84">ROUND(D275+D277,1)</f>
        <v>0</v>
      </c>
      <c r="E274" s="3113">
        <f>ROUND(E275+E277,1)-E278</f>
        <v>9580511</v>
      </c>
      <c r="F274" s="3113">
        <f>PLATI!D274</f>
        <v>-40534</v>
      </c>
      <c r="G274" s="3114">
        <f t="shared" si="73"/>
        <v>9539977</v>
      </c>
    </row>
    <row r="275" spans="1:7" s="3389" customFormat="1" ht="18" customHeight="1">
      <c r="A275" s="3124" t="s">
        <v>880</v>
      </c>
      <c r="B275" s="3125" t="s">
        <v>881</v>
      </c>
      <c r="C275" s="3113">
        <f t="shared" si="71"/>
        <v>6582972</v>
      </c>
      <c r="D275" s="3113">
        <f t="shared" ref="D275:E275" si="85">ROUND(D276,1)</f>
        <v>0</v>
      </c>
      <c r="E275" s="3113">
        <f t="shared" si="85"/>
        <v>6582972</v>
      </c>
      <c r="F275" s="3113">
        <f>PLATI!D275</f>
        <v>0</v>
      </c>
      <c r="G275" s="3114">
        <f t="shared" si="73"/>
        <v>6582972</v>
      </c>
    </row>
    <row r="276" spans="1:7" ht="18" customHeight="1">
      <c r="A276" s="3116" t="s">
        <v>882</v>
      </c>
      <c r="B276" s="3044" t="s">
        <v>883</v>
      </c>
      <c r="C276" s="3045">
        <f t="shared" si="71"/>
        <v>6582972</v>
      </c>
      <c r="D276" s="3045"/>
      <c r="E276" s="3045">
        <v>6582972</v>
      </c>
      <c r="F276" s="3045">
        <f>PLATI!D276</f>
        <v>0</v>
      </c>
      <c r="G276" s="3047">
        <f t="shared" si="73"/>
        <v>6582972</v>
      </c>
    </row>
    <row r="277" spans="1:7" s="3389" customFormat="1" ht="25.15" customHeight="1">
      <c r="A277" s="3406" t="s">
        <v>884</v>
      </c>
      <c r="B277" s="3407" t="s">
        <v>885</v>
      </c>
      <c r="C277" s="3408">
        <f t="shared" si="71"/>
        <v>2997539</v>
      </c>
      <c r="D277" s="3408"/>
      <c r="E277" s="3408">
        <v>2997539</v>
      </c>
      <c r="F277" s="3408">
        <f>PLATI!D277</f>
        <v>-40534</v>
      </c>
      <c r="G277" s="3409">
        <f t="shared" si="73"/>
        <v>2957005</v>
      </c>
    </row>
    <row r="278" spans="1:7" s="3389" customFormat="1" ht="24" hidden="1">
      <c r="A278" s="3410" t="s">
        <v>1000</v>
      </c>
      <c r="B278" s="3411" t="s">
        <v>1001</v>
      </c>
      <c r="C278" s="2717"/>
      <c r="D278" s="2717"/>
      <c r="E278" s="2717"/>
      <c r="F278" s="2717"/>
      <c r="G278" s="2718">
        <f t="shared" si="73"/>
        <v>0</v>
      </c>
    </row>
    <row r="279" spans="1:7" s="3389" customFormat="1" ht="24" hidden="1">
      <c r="A279" s="3154" t="s">
        <v>2424</v>
      </c>
      <c r="B279" s="3153" t="s">
        <v>1002</v>
      </c>
      <c r="C279" s="3113"/>
      <c r="D279" s="3113"/>
      <c r="E279" s="3113"/>
      <c r="F279" s="3113"/>
      <c r="G279" s="3114">
        <f t="shared" si="73"/>
        <v>0</v>
      </c>
    </row>
    <row r="280" spans="1:7" ht="36" hidden="1">
      <c r="A280" s="3155" t="s">
        <v>1600</v>
      </c>
      <c r="B280" s="3156" t="s">
        <v>1004</v>
      </c>
      <c r="C280" s="3113"/>
      <c r="D280" s="3113"/>
      <c r="E280" s="3113"/>
      <c r="F280" s="3113"/>
      <c r="G280" s="3114">
        <f t="shared" si="73"/>
        <v>0</v>
      </c>
    </row>
    <row r="281" spans="1:7" ht="36" hidden="1">
      <c r="A281" s="3155" t="s">
        <v>1600</v>
      </c>
      <c r="B281" s="3156" t="s">
        <v>1005</v>
      </c>
      <c r="C281" s="3058"/>
      <c r="D281" s="3058"/>
      <c r="E281" s="3058"/>
      <c r="F281" s="3117"/>
      <c r="G281" s="3126">
        <f t="shared" si="73"/>
        <v>0</v>
      </c>
    </row>
    <row r="282" spans="1:7" s="3389" customFormat="1" ht="15" hidden="1">
      <c r="A282" s="3124" t="s">
        <v>886</v>
      </c>
      <c r="B282" s="3125" t="s">
        <v>887</v>
      </c>
      <c r="C282" s="3113"/>
      <c r="D282" s="3113"/>
      <c r="E282" s="3113"/>
      <c r="F282" s="3113"/>
      <c r="G282" s="3114">
        <f t="shared" si="73"/>
        <v>0</v>
      </c>
    </row>
    <row r="283" spans="1:7" s="3389" customFormat="1" ht="15" hidden="1">
      <c r="A283" s="3124" t="s">
        <v>888</v>
      </c>
      <c r="B283" s="3125" t="s">
        <v>889</v>
      </c>
      <c r="C283" s="3113"/>
      <c r="D283" s="3113"/>
      <c r="E283" s="3113"/>
      <c r="F283" s="3113"/>
      <c r="G283" s="3114">
        <f t="shared" si="73"/>
        <v>0</v>
      </c>
    </row>
    <row r="284" spans="1:7" ht="14.25" hidden="1">
      <c r="A284" s="3185" t="s">
        <v>890</v>
      </c>
      <c r="B284" s="3044" t="s">
        <v>891</v>
      </c>
      <c r="C284" s="3058"/>
      <c r="D284" s="3058"/>
      <c r="E284" s="3058"/>
      <c r="F284" s="3058"/>
      <c r="G284" s="3126">
        <f t="shared" si="73"/>
        <v>0</v>
      </c>
    </row>
    <row r="285" spans="1:7" ht="14.25" hidden="1">
      <c r="A285" s="3186" t="s">
        <v>892</v>
      </c>
      <c r="B285" s="3187" t="s">
        <v>893</v>
      </c>
      <c r="C285" s="3188"/>
      <c r="D285" s="3188"/>
      <c r="E285" s="3188"/>
      <c r="F285" s="3188"/>
      <c r="G285" s="3190">
        <f t="shared" si="73"/>
        <v>0</v>
      </c>
    </row>
    <row r="288" spans="1:7">
      <c r="A288" s="4512" t="str">
        <f>'ANGAJ BUGETAR'!A288</f>
        <v>DIRECTOR  GENERAL,</v>
      </c>
      <c r="B288" s="4513"/>
      <c r="E288" s="4513" t="str">
        <f>'ANGAJ BUGETAR'!C288</f>
        <v>DIRECTOR  EXECUTIV  ECONOMIC,</v>
      </c>
      <c r="F288" s="4513"/>
      <c r="G288" s="4513"/>
    </row>
    <row r="290" spans="1:7">
      <c r="A290" s="4513" t="str">
        <f>'ANGAJ BUGETAR'!A290</f>
        <v>EC.ALBU DRINA</v>
      </c>
      <c r="B290" s="4513"/>
      <c r="E290" s="4513" t="str">
        <f>'ANGAJ BUGETAR'!C290</f>
        <v>EC.BIRCU FLORINA</v>
      </c>
      <c r="F290" s="4513"/>
      <c r="G290" s="4513"/>
    </row>
    <row r="291" spans="1:7">
      <c r="A291" s="4514">
        <f>'ANGAJ BUGETAR'!A291</f>
        <v>0</v>
      </c>
      <c r="B291" s="4514"/>
    </row>
    <row r="295" spans="1:7">
      <c r="A295" s="4515">
        <f>'ANGAJ BUGETAR'!A294</f>
        <v>0</v>
      </c>
      <c r="B295" s="4515"/>
      <c r="E295" s="4511">
        <f>'ANGAJ BUGETAR'!C294</f>
        <v>0</v>
      </c>
      <c r="F295" s="4511"/>
      <c r="G295" s="4511"/>
    </row>
    <row r="297" spans="1:7">
      <c r="A297" s="4511">
        <f>'ANGAJ BUGETAR'!A296</f>
        <v>0</v>
      </c>
      <c r="B297" s="4511"/>
      <c r="E297" s="4511">
        <f>'ANGAJ BUGETAR'!C296</f>
        <v>0</v>
      </c>
      <c r="F297" s="4511"/>
      <c r="G297" s="4511"/>
    </row>
  </sheetData>
  <sheetProtection password="CFDD" sheet="1" objects="1" scenarios="1"/>
  <mergeCells count="17">
    <mergeCell ref="A3:G3"/>
    <mergeCell ref="A4:G4"/>
    <mergeCell ref="A6:A7"/>
    <mergeCell ref="B6:B7"/>
    <mergeCell ref="C6:C7"/>
    <mergeCell ref="D6:E6"/>
    <mergeCell ref="F6:F7"/>
    <mergeCell ref="G6:G7"/>
    <mergeCell ref="A297:B297"/>
    <mergeCell ref="E295:G295"/>
    <mergeCell ref="E297:G297"/>
    <mergeCell ref="A288:B288"/>
    <mergeCell ref="E288:G288"/>
    <mergeCell ref="A290:B290"/>
    <mergeCell ref="E290:G290"/>
    <mergeCell ref="A291:B291"/>
    <mergeCell ref="A295:B295"/>
  </mergeCells>
  <pageMargins left="0.70866141732283472" right="0.51181102362204722" top="0.74803149606299213" bottom="0.74803149606299213" header="0.31496062992125984" footer="0.31496062992125984"/>
  <pageSetup paperSize="9" scale="70" orientation="portrait" r:id="rId1"/>
  <headerFooter>
    <oddFooter>&amp;A&amp;RPagina &amp;P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40">
    <tabColor rgb="FF009900"/>
  </sheetPr>
  <dimension ref="A1:V320"/>
  <sheetViews>
    <sheetView showZeros="0" zoomScaleNormal="100" workbookViewId="0">
      <pane xSplit="2" ySplit="7" topLeftCell="I8" activePane="bottomRight" state="frozen"/>
      <selection sqref="A1:E1"/>
      <selection pane="topRight" sqref="A1:E1"/>
      <selection pane="bottomLeft" sqref="A1:E1"/>
      <selection pane="bottomRight" activeCell="P9" sqref="P9"/>
    </sheetView>
  </sheetViews>
  <sheetFormatPr defaultColWidth="9" defaultRowHeight="18" customHeight="1"/>
  <cols>
    <col min="1" max="1" width="33.42578125" style="712" customWidth="1"/>
    <col min="2" max="2" width="12.28515625" style="713" customWidth="1"/>
    <col min="3" max="4" width="15.28515625" style="714" customWidth="1"/>
    <col min="5" max="5" width="19.42578125" style="717" customWidth="1"/>
    <col min="6" max="6" width="18.28515625" style="715" customWidth="1"/>
    <col min="7" max="8" width="15" style="715" customWidth="1"/>
    <col min="9" max="9" width="13" style="715" customWidth="1"/>
    <col min="10" max="10" width="15.42578125" style="715" customWidth="1"/>
    <col min="11" max="12" width="15.140625" style="715" customWidth="1"/>
    <col min="13" max="13" width="16.7109375" style="715" customWidth="1"/>
    <col min="14" max="14" width="10.140625" style="715" hidden="1" customWidth="1"/>
    <col min="15" max="15" width="15.140625" style="724" customWidth="1"/>
    <col min="16" max="16" width="12.140625" style="724" customWidth="1"/>
    <col min="17" max="17" width="12" style="724" hidden="1" customWidth="1"/>
    <col min="18" max="18" width="12.5703125" style="724" customWidth="1"/>
    <col min="19" max="19" width="10.7109375" style="724" customWidth="1"/>
    <col min="20" max="20" width="13.28515625" style="1933" customWidth="1"/>
    <col min="21" max="21" width="12.5703125" style="715" customWidth="1"/>
    <col min="22" max="22" width="17.42578125" bestFit="1" customWidth="1"/>
  </cols>
  <sheetData>
    <row r="1" spans="1:21" ht="18" customHeight="1">
      <c r="A1" s="3989" t="str">
        <f>'ANEXA 1'!A1</f>
        <v>CASA  DE  ASIGURĂRI  DE  SĂNĂTATE MEHEDINTI</v>
      </c>
      <c r="B1" s="3989"/>
      <c r="C1" s="3989"/>
      <c r="D1" s="3989"/>
      <c r="E1" s="3989"/>
      <c r="F1" s="3989"/>
      <c r="G1" s="3989"/>
      <c r="H1" s="35"/>
      <c r="I1" s="35"/>
      <c r="K1" s="717"/>
      <c r="M1" s="718"/>
      <c r="N1" s="718"/>
    </row>
    <row r="2" spans="1:21" s="1" customFormat="1" ht="18" customHeight="1">
      <c r="A2" s="4166" t="s">
        <v>805</v>
      </c>
      <c r="B2" s="4166"/>
      <c r="C2" s="4166"/>
      <c r="D2" s="4166"/>
      <c r="E2" s="4166"/>
      <c r="F2" s="4166"/>
      <c r="G2" s="4166"/>
      <c r="H2" s="4166"/>
      <c r="I2" s="4166"/>
      <c r="J2" s="4166"/>
      <c r="K2" s="4166"/>
      <c r="L2" s="4166"/>
      <c r="M2" s="4166"/>
      <c r="N2" s="1926"/>
      <c r="O2" s="724"/>
      <c r="P2" s="724"/>
      <c r="Q2" s="724"/>
      <c r="R2" s="724"/>
      <c r="S2" s="724"/>
      <c r="T2" s="1934"/>
      <c r="U2" s="48"/>
    </row>
    <row r="3" spans="1:21" s="1" customFormat="1" ht="18" customHeight="1">
      <c r="A3" s="4008" t="str">
        <f>'ANEXA 1'!A12</f>
        <v>la  data  de  30  IUNIE  2023</v>
      </c>
      <c r="B3" s="4008"/>
      <c r="C3" s="4008"/>
      <c r="D3" s="4008"/>
      <c r="E3" s="4008"/>
      <c r="F3" s="4008"/>
      <c r="G3" s="4008"/>
      <c r="H3" s="4008"/>
      <c r="I3" s="4008"/>
      <c r="J3" s="4008"/>
      <c r="K3" s="4008"/>
      <c r="L3" s="4008"/>
      <c r="M3" s="4008"/>
      <c r="N3" s="1924"/>
      <c r="O3" s="724"/>
      <c r="P3" s="724"/>
      <c r="Q3" s="724"/>
      <c r="R3" s="724"/>
      <c r="S3" s="724"/>
      <c r="T3" s="1934"/>
      <c r="U3" s="48"/>
    </row>
    <row r="4" spans="1:21" s="1" customFormat="1" ht="12" customHeight="1">
      <c r="A4" s="720" t="s">
        <v>806</v>
      </c>
      <c r="B4" s="1233"/>
      <c r="C4" s="721"/>
      <c r="D4" s="721"/>
      <c r="E4" s="5"/>
      <c r="F4" s="5"/>
      <c r="G4" s="48"/>
      <c r="H4" s="48"/>
      <c r="I4" s="48"/>
      <c r="J4" s="48"/>
      <c r="K4" s="5"/>
      <c r="L4" s="69"/>
      <c r="M4" s="360" t="s">
        <v>271</v>
      </c>
      <c r="N4" s="360"/>
      <c r="O4" s="1935"/>
      <c r="P4" s="724"/>
      <c r="Q4" s="724"/>
      <c r="R4" s="724"/>
      <c r="S4" s="724"/>
      <c r="T4" s="1934"/>
      <c r="U4" s="48"/>
    </row>
    <row r="5" spans="1:21" s="1" customFormat="1" ht="23.45" customHeight="1">
      <c r="A5" s="4533" t="s">
        <v>807</v>
      </c>
      <c r="B5" s="4535" t="s">
        <v>808</v>
      </c>
      <c r="C5" s="4476" t="s">
        <v>809</v>
      </c>
      <c r="D5" s="4476"/>
      <c r="E5" s="4476" t="s">
        <v>810</v>
      </c>
      <c r="F5" s="4476"/>
      <c r="G5" s="4476" t="s">
        <v>811</v>
      </c>
      <c r="H5" s="4538" t="s">
        <v>1570</v>
      </c>
      <c r="I5" s="4476" t="s">
        <v>331</v>
      </c>
      <c r="J5" s="4476"/>
      <c r="K5" s="4538" t="s">
        <v>813</v>
      </c>
      <c r="L5" s="4538" t="s">
        <v>814</v>
      </c>
      <c r="M5" s="4478" t="s">
        <v>815</v>
      </c>
      <c r="N5" s="1948"/>
      <c r="O5" s="1936"/>
      <c r="P5" s="1936"/>
      <c r="Q5" s="1936"/>
      <c r="R5" s="1936"/>
      <c r="S5" s="1936"/>
      <c r="T5" s="1934"/>
      <c r="U5" s="48"/>
    </row>
    <row r="6" spans="1:21" s="1" customFormat="1" ht="48">
      <c r="A6" s="4534"/>
      <c r="B6" s="4536"/>
      <c r="C6" s="3921" t="str">
        <f>'ANEXA 6'!D6</f>
        <v>anuale aprobate la finele perioadei de raportare</v>
      </c>
      <c r="D6" s="3922" t="str">
        <f>'ANEXA 6'!E6</f>
        <v>trimestriale cumulate</v>
      </c>
      <c r="E6" s="3922" t="str">
        <f>'ANEXA 6'!F6</f>
        <v>anuale aprobate la finele perioadei de raportare</v>
      </c>
      <c r="F6" s="3922" t="str">
        <f>'ANEXA 6'!G6</f>
        <v>trimestriale cumulate</v>
      </c>
      <c r="G6" s="4537"/>
      <c r="H6" s="4539"/>
      <c r="I6" s="3922" t="s">
        <v>1115</v>
      </c>
      <c r="J6" s="3923" t="s">
        <v>1571</v>
      </c>
      <c r="K6" s="4539"/>
      <c r="L6" s="4539"/>
      <c r="M6" s="4540"/>
      <c r="N6" s="1957" t="s">
        <v>2331</v>
      </c>
      <c r="O6" s="722" t="s">
        <v>1572</v>
      </c>
      <c r="P6" s="722" t="s">
        <v>1573</v>
      </c>
      <c r="Q6" s="722" t="s">
        <v>1574</v>
      </c>
      <c r="R6" s="722" t="s">
        <v>1575</v>
      </c>
      <c r="S6" s="722" t="s">
        <v>1576</v>
      </c>
      <c r="T6" s="722" t="s">
        <v>1577</v>
      </c>
      <c r="U6" s="2808" t="s">
        <v>2502</v>
      </c>
    </row>
    <row r="7" spans="1:21" s="3920" customFormat="1" ht="11.25">
      <c r="A7" s="3924" t="s">
        <v>92</v>
      </c>
      <c r="B7" s="3925" t="s">
        <v>93</v>
      </c>
      <c r="C7" s="3926">
        <v>1</v>
      </c>
      <c r="D7" s="3926">
        <v>2</v>
      </c>
      <c r="E7" s="3926">
        <v>3</v>
      </c>
      <c r="F7" s="3926">
        <v>4</v>
      </c>
      <c r="G7" s="3926">
        <v>5</v>
      </c>
      <c r="H7" s="3926" t="s">
        <v>2059</v>
      </c>
      <c r="I7" s="3927" t="s">
        <v>2060</v>
      </c>
      <c r="J7" s="3928" t="s">
        <v>2061</v>
      </c>
      <c r="K7" s="3929">
        <v>7</v>
      </c>
      <c r="L7" s="3930" t="s">
        <v>2057</v>
      </c>
      <c r="M7" s="3931">
        <v>9</v>
      </c>
      <c r="N7" s="3915"/>
      <c r="O7" s="3916"/>
      <c r="P7" s="3917"/>
      <c r="Q7" s="3917"/>
      <c r="R7" s="3917"/>
      <c r="S7" s="3916"/>
      <c r="T7" s="3918"/>
      <c r="U7" s="3919"/>
    </row>
    <row r="8" spans="1:21" s="133" customFormat="1" ht="18" customHeight="1">
      <c r="A8" s="3932" t="s">
        <v>816</v>
      </c>
      <c r="B8" s="3933">
        <v>5000</v>
      </c>
      <c r="C8" s="3113">
        <f>C9+C18</f>
        <v>437159530</v>
      </c>
      <c r="D8" s="3113">
        <f>D9+D18</f>
        <v>279683140</v>
      </c>
      <c r="E8" s="3113">
        <f>E9+E18</f>
        <v>407858970</v>
      </c>
      <c r="F8" s="3113">
        <f>F9+F18</f>
        <v>247433070</v>
      </c>
      <c r="G8" s="3113">
        <f t="shared" ref="G8:M8" si="0">G33+G292</f>
        <v>350425326</v>
      </c>
      <c r="H8" s="3113">
        <f t="shared" si="0"/>
        <v>438017959</v>
      </c>
      <c r="I8" s="3113">
        <f t="shared" si="0"/>
        <v>63537794</v>
      </c>
      <c r="J8" s="3113">
        <f t="shared" si="0"/>
        <v>374480165</v>
      </c>
      <c r="K8" s="3113">
        <f t="shared" si="0"/>
        <v>239735155</v>
      </c>
      <c r="L8" s="3113">
        <f t="shared" si="0"/>
        <v>198282804</v>
      </c>
      <c r="M8" s="3114">
        <f t="shared" si="0"/>
        <v>206839089</v>
      </c>
      <c r="N8" s="1949"/>
      <c r="O8" s="1937" t="str">
        <f>IF(F8&lt;K8," EROARE"," ")</f>
        <v xml:space="preserve"> </v>
      </c>
      <c r="P8" s="1937" t="str">
        <f>IF(E8&lt;G8," EROARE"," ")</f>
        <v xml:space="preserve"> </v>
      </c>
      <c r="Q8" s="723"/>
      <c r="R8" s="1939" t="str">
        <f>IF(C8&lt;J8," EROARE"," ")</f>
        <v xml:space="preserve"> </v>
      </c>
      <c r="S8" s="1939" t="str">
        <f t="shared" ref="S8:S71" si="1">IF(G8&lt;K8," EROARE"," ")</f>
        <v xml:space="preserve"> </v>
      </c>
      <c r="T8" s="1937" t="str">
        <f>IF(H8&lt;K8," EROARE"," ")</f>
        <v xml:space="preserve"> </v>
      </c>
      <c r="U8" s="723"/>
    </row>
    <row r="9" spans="1:21" s="133" customFormat="1" ht="18" customHeight="1">
      <c r="A9" s="3111" t="s">
        <v>1578</v>
      </c>
      <c r="B9" s="3112" t="s">
        <v>1823</v>
      </c>
      <c r="C9" s="3113">
        <f t="shared" ref="C9:L9" si="2">ROUND(C10+C11+C12+C14+C13+C16,1)+C17</f>
        <v>436557530</v>
      </c>
      <c r="D9" s="3113">
        <f>ROUND(D10+D11+D12+D14+D13+D16,1)+D17</f>
        <v>279381140</v>
      </c>
      <c r="E9" s="3113">
        <f t="shared" si="2"/>
        <v>407256970</v>
      </c>
      <c r="F9" s="3113">
        <f t="shared" si="2"/>
        <v>247131070</v>
      </c>
      <c r="G9" s="3113">
        <f t="shared" si="2"/>
        <v>350606979</v>
      </c>
      <c r="H9" s="3113">
        <f t="shared" si="2"/>
        <v>438199612</v>
      </c>
      <c r="I9" s="3113">
        <f t="shared" si="2"/>
        <v>63537794</v>
      </c>
      <c r="J9" s="3113">
        <f t="shared" si="2"/>
        <v>374661818</v>
      </c>
      <c r="K9" s="3113">
        <f t="shared" si="2"/>
        <v>239916808</v>
      </c>
      <c r="L9" s="3113">
        <f t="shared" si="2"/>
        <v>198282804</v>
      </c>
      <c r="M9" s="3114">
        <f>M10+M11+M12+M14+M13+M16+M17</f>
        <v>206813221</v>
      </c>
      <c r="N9" s="1949"/>
      <c r="O9" s="1937" t="str">
        <f t="shared" ref="O9:O34" si="3">IF(F9&lt;K9," EROARE"," ")</f>
        <v xml:space="preserve"> </v>
      </c>
      <c r="P9" s="1937" t="str">
        <f t="shared" ref="P9:P72" si="4">IF(E9&lt;G9," EROARE"," ")</f>
        <v xml:space="preserve"> </v>
      </c>
      <c r="Q9" s="723"/>
      <c r="R9" s="1939" t="str">
        <f t="shared" ref="R9:R72" si="5">IF(C9&lt;J9," EROARE"," ")</f>
        <v xml:space="preserve"> </v>
      </c>
      <c r="S9" s="1939" t="str">
        <f t="shared" si="1"/>
        <v xml:space="preserve"> </v>
      </c>
      <c r="T9" s="1937" t="str">
        <f t="shared" ref="T9:T73" si="6">IF(H9&lt;K9," EROARE"," ")</f>
        <v xml:space="preserve"> </v>
      </c>
      <c r="U9" s="34"/>
    </row>
    <row r="10" spans="1:21" s="725" customFormat="1" ht="25.5">
      <c r="A10" s="3111" t="s">
        <v>1511</v>
      </c>
      <c r="B10" s="3112" t="s">
        <v>1824</v>
      </c>
      <c r="C10" s="3113">
        <f t="shared" ref="C10:L10" si="7">ROUND(+C35,1)</f>
        <v>4930600</v>
      </c>
      <c r="D10" s="3113">
        <f>ROUND(+D35,1)</f>
        <v>2510140</v>
      </c>
      <c r="E10" s="3113">
        <f t="shared" si="7"/>
        <v>4930600</v>
      </c>
      <c r="F10" s="3113">
        <f t="shared" si="7"/>
        <v>2510140</v>
      </c>
      <c r="G10" s="3113">
        <f t="shared" si="7"/>
        <v>4930600</v>
      </c>
      <c r="H10" s="3113">
        <f t="shared" si="7"/>
        <v>4930600</v>
      </c>
      <c r="I10" s="3113">
        <f t="shared" si="7"/>
        <v>0</v>
      </c>
      <c r="J10" s="3113">
        <f t="shared" si="7"/>
        <v>4930600</v>
      </c>
      <c r="K10" s="3113">
        <f t="shared" si="7"/>
        <v>2468566</v>
      </c>
      <c r="L10" s="3113">
        <f t="shared" si="7"/>
        <v>2462034</v>
      </c>
      <c r="M10" s="3114">
        <f>+M35</f>
        <v>2490913</v>
      </c>
      <c r="N10" s="1949"/>
      <c r="O10" s="1937" t="str">
        <f t="shared" si="3"/>
        <v xml:space="preserve"> </v>
      </c>
      <c r="P10" s="1937" t="str">
        <f t="shared" si="4"/>
        <v xml:space="preserve"> </v>
      </c>
      <c r="Q10" s="723"/>
      <c r="R10" s="1939" t="str">
        <f t="shared" si="5"/>
        <v xml:space="preserve"> </v>
      </c>
      <c r="S10" s="1939" t="str">
        <f t="shared" si="1"/>
        <v xml:space="preserve"> </v>
      </c>
      <c r="T10" s="1937" t="str">
        <f t="shared" si="6"/>
        <v xml:space="preserve"> </v>
      </c>
      <c r="U10" s="724"/>
    </row>
    <row r="11" spans="1:21" s="133" customFormat="1" ht="18" customHeight="1">
      <c r="A11" s="3111" t="s">
        <v>1032</v>
      </c>
      <c r="B11" s="3112" t="s">
        <v>1825</v>
      </c>
      <c r="C11" s="3113">
        <f t="shared" ref="C11:L11" si="8">ROUND(+C57,1)</f>
        <v>305203060</v>
      </c>
      <c r="D11" s="3113">
        <f>ROUND(+D57,1)</f>
        <v>200124580</v>
      </c>
      <c r="E11" s="3113">
        <f t="shared" si="8"/>
        <v>275902500</v>
      </c>
      <c r="F11" s="3113">
        <f t="shared" si="8"/>
        <v>167874510</v>
      </c>
      <c r="G11" s="3113">
        <f t="shared" si="8"/>
        <v>275792078</v>
      </c>
      <c r="H11" s="3113">
        <f t="shared" si="8"/>
        <v>363384711</v>
      </c>
      <c r="I11" s="3113">
        <f t="shared" si="8"/>
        <v>63537794</v>
      </c>
      <c r="J11" s="3113">
        <f t="shared" si="8"/>
        <v>299846917</v>
      </c>
      <c r="K11" s="3113">
        <f t="shared" si="8"/>
        <v>167563941</v>
      </c>
      <c r="L11" s="3113">
        <f t="shared" si="8"/>
        <v>195820770</v>
      </c>
      <c r="M11" s="3114">
        <f>+M57</f>
        <v>134438007</v>
      </c>
      <c r="N11" s="1949"/>
      <c r="O11" s="1937" t="str">
        <f t="shared" si="3"/>
        <v xml:space="preserve"> </v>
      </c>
      <c r="P11" s="1937" t="str">
        <f t="shared" si="4"/>
        <v xml:space="preserve"> </v>
      </c>
      <c r="Q11" s="723"/>
      <c r="R11" s="1939" t="str">
        <f t="shared" si="5"/>
        <v xml:space="preserve"> </v>
      </c>
      <c r="S11" s="1939" t="str">
        <f t="shared" si="1"/>
        <v xml:space="preserve"> </v>
      </c>
      <c r="T11" s="1937" t="str">
        <f t="shared" si="6"/>
        <v xml:space="preserve"> </v>
      </c>
      <c r="U11" s="34"/>
    </row>
    <row r="12" spans="1:21" s="133" customFormat="1" ht="18" customHeight="1">
      <c r="A12" s="3111" t="s">
        <v>1531</v>
      </c>
      <c r="B12" s="3112" t="s">
        <v>1826</v>
      </c>
      <c r="C12" s="3113">
        <f t="shared" ref="C12:M12" si="9">C86</f>
        <v>0</v>
      </c>
      <c r="D12" s="3113">
        <f>D86</f>
        <v>0</v>
      </c>
      <c r="E12" s="3113">
        <f t="shared" si="9"/>
        <v>0</v>
      </c>
      <c r="F12" s="3113">
        <f t="shared" si="9"/>
        <v>0</v>
      </c>
      <c r="G12" s="3113">
        <f t="shared" si="9"/>
        <v>0</v>
      </c>
      <c r="H12" s="3113">
        <f t="shared" si="9"/>
        <v>0</v>
      </c>
      <c r="I12" s="3113">
        <f t="shared" si="9"/>
        <v>0</v>
      </c>
      <c r="J12" s="3113">
        <f t="shared" si="9"/>
        <v>0</v>
      </c>
      <c r="K12" s="3113">
        <f t="shared" si="9"/>
        <v>0</v>
      </c>
      <c r="L12" s="3113">
        <f t="shared" si="9"/>
        <v>0</v>
      </c>
      <c r="M12" s="3114">
        <f t="shared" si="9"/>
        <v>0</v>
      </c>
      <c r="N12" s="1949"/>
      <c r="O12" s="1937" t="str">
        <f t="shared" si="3"/>
        <v xml:space="preserve"> </v>
      </c>
      <c r="P12" s="1937" t="str">
        <f t="shared" si="4"/>
        <v xml:space="preserve"> </v>
      </c>
      <c r="Q12" s="723"/>
      <c r="R12" s="1939" t="str">
        <f t="shared" si="5"/>
        <v xml:space="preserve"> </v>
      </c>
      <c r="S12" s="1939" t="str">
        <f t="shared" si="1"/>
        <v xml:space="preserve"> </v>
      </c>
      <c r="T12" s="1937" t="str">
        <f t="shared" si="6"/>
        <v xml:space="preserve"> </v>
      </c>
      <c r="U12" s="34"/>
    </row>
    <row r="13" spans="1:21" s="725" customFormat="1" ht="38.25">
      <c r="A13" s="3111" t="s">
        <v>1583</v>
      </c>
      <c r="B13" s="3112" t="s">
        <v>1827</v>
      </c>
      <c r="C13" s="3113">
        <f t="shared" ref="C13:M13" si="10">+C89</f>
        <v>111759870</v>
      </c>
      <c r="D13" s="3113">
        <f>+D89</f>
        <v>67163420</v>
      </c>
      <c r="E13" s="3113">
        <f t="shared" si="10"/>
        <v>111759870</v>
      </c>
      <c r="F13" s="3113">
        <f t="shared" si="10"/>
        <v>67163420</v>
      </c>
      <c r="G13" s="3113">
        <f t="shared" si="10"/>
        <v>60303790</v>
      </c>
      <c r="H13" s="3113">
        <f t="shared" si="10"/>
        <v>60303790</v>
      </c>
      <c r="I13" s="3113">
        <f t="shared" si="10"/>
        <v>0</v>
      </c>
      <c r="J13" s="3113">
        <f t="shared" si="10"/>
        <v>60303790</v>
      </c>
      <c r="K13" s="3113">
        <f t="shared" si="10"/>
        <v>60303790</v>
      </c>
      <c r="L13" s="3113">
        <f t="shared" si="10"/>
        <v>0</v>
      </c>
      <c r="M13" s="3114">
        <f t="shared" si="10"/>
        <v>60303790</v>
      </c>
      <c r="N13" s="1949"/>
      <c r="O13" s="1937" t="str">
        <f t="shared" si="3"/>
        <v xml:space="preserve"> </v>
      </c>
      <c r="P13" s="1937" t="str">
        <f t="shared" si="4"/>
        <v xml:space="preserve"> </v>
      </c>
      <c r="Q13" s="723"/>
      <c r="R13" s="1939" t="str">
        <f t="shared" si="5"/>
        <v xml:space="preserve"> </v>
      </c>
      <c r="S13" s="1939" t="str">
        <f t="shared" si="1"/>
        <v xml:space="preserve"> </v>
      </c>
      <c r="T13" s="1937" t="str">
        <f t="shared" si="6"/>
        <v xml:space="preserve"> </v>
      </c>
      <c r="U13" s="724"/>
    </row>
    <row r="14" spans="1:21" s="133" customFormat="1">
      <c r="A14" s="3111" t="s">
        <v>1585</v>
      </c>
      <c r="B14" s="3112" t="s">
        <v>1828</v>
      </c>
      <c r="C14" s="3113">
        <f>ROUND(C292,1)</f>
        <v>14664000</v>
      </c>
      <c r="D14" s="3113">
        <f>ROUND(D292,1)</f>
        <v>9583000</v>
      </c>
      <c r="E14" s="3113">
        <f>ROUND(E292,1)</f>
        <v>14664000</v>
      </c>
      <c r="F14" s="3113">
        <f>ROUND(F292,1)</f>
        <v>9583000</v>
      </c>
      <c r="G14" s="3113">
        <f t="shared" ref="G14:M14" si="11">ROUND(G292,1)-G301</f>
        <v>9580511</v>
      </c>
      <c r="H14" s="3113">
        <f t="shared" si="11"/>
        <v>9580511</v>
      </c>
      <c r="I14" s="3113">
        <f t="shared" si="11"/>
        <v>0</v>
      </c>
      <c r="J14" s="3113">
        <f t="shared" si="11"/>
        <v>9580511</v>
      </c>
      <c r="K14" s="3113">
        <f t="shared" si="11"/>
        <v>9580511</v>
      </c>
      <c r="L14" s="3113">
        <f t="shared" si="11"/>
        <v>0</v>
      </c>
      <c r="M14" s="3114">
        <f t="shared" si="11"/>
        <v>9580511</v>
      </c>
      <c r="N14" s="1949"/>
      <c r="O14" s="1937" t="str">
        <f t="shared" si="3"/>
        <v xml:space="preserve"> </v>
      </c>
      <c r="P14" s="1937" t="str">
        <f t="shared" si="4"/>
        <v xml:space="preserve"> </v>
      </c>
      <c r="Q14" s="723"/>
      <c r="R14" s="1939" t="str">
        <f t="shared" si="5"/>
        <v xml:space="preserve"> </v>
      </c>
      <c r="S14" s="1939" t="str">
        <f t="shared" si="1"/>
        <v xml:space="preserve"> </v>
      </c>
      <c r="T14" s="1937" t="str">
        <f t="shared" si="6"/>
        <v xml:space="preserve"> </v>
      </c>
      <c r="U14" s="34"/>
    </row>
    <row r="15" spans="1:21" s="133" customFormat="1" ht="38.25">
      <c r="A15" s="3111" t="s">
        <v>1656</v>
      </c>
      <c r="B15" s="3112" t="s">
        <v>1829</v>
      </c>
      <c r="C15" s="3113"/>
      <c r="D15" s="3113"/>
      <c r="E15" s="3113"/>
      <c r="F15" s="3113"/>
      <c r="G15" s="3113">
        <f t="shared" ref="G15:L15" si="12">+G132+G301</f>
        <v>-181653</v>
      </c>
      <c r="H15" s="3113">
        <f t="shared" si="12"/>
        <v>-181653</v>
      </c>
      <c r="I15" s="3113">
        <f t="shared" si="12"/>
        <v>0</v>
      </c>
      <c r="J15" s="3113">
        <f t="shared" si="12"/>
        <v>-181653</v>
      </c>
      <c r="K15" s="3113">
        <f t="shared" si="12"/>
        <v>-181653</v>
      </c>
      <c r="L15" s="3113">
        <f t="shared" si="12"/>
        <v>0</v>
      </c>
      <c r="M15" s="3114"/>
      <c r="N15" s="1949"/>
      <c r="O15" s="723"/>
      <c r="P15" s="723"/>
      <c r="Q15" s="723"/>
      <c r="R15" s="735"/>
      <c r="S15" s="723"/>
      <c r="T15" s="723"/>
      <c r="U15" s="34"/>
    </row>
    <row r="16" spans="1:21" s="133" customFormat="1" ht="51">
      <c r="A16" s="3111" t="s">
        <v>973</v>
      </c>
      <c r="B16" s="3112" t="s">
        <v>1830</v>
      </c>
      <c r="C16" s="3113">
        <f t="shared" ref="C16:M16" si="13">C106</f>
        <v>0</v>
      </c>
      <c r="D16" s="3113">
        <f>D106</f>
        <v>0</v>
      </c>
      <c r="E16" s="3113">
        <f t="shared" si="13"/>
        <v>0</v>
      </c>
      <c r="F16" s="3113">
        <f t="shared" si="13"/>
        <v>0</v>
      </c>
      <c r="G16" s="3113">
        <f t="shared" si="13"/>
        <v>0</v>
      </c>
      <c r="H16" s="3113">
        <f t="shared" si="13"/>
        <v>0</v>
      </c>
      <c r="I16" s="3113">
        <f t="shared" si="13"/>
        <v>0</v>
      </c>
      <c r="J16" s="3113">
        <f t="shared" si="13"/>
        <v>0</v>
      </c>
      <c r="K16" s="3113">
        <f t="shared" si="13"/>
        <v>0</v>
      </c>
      <c r="L16" s="3113">
        <f t="shared" si="13"/>
        <v>0</v>
      </c>
      <c r="M16" s="3114">
        <f t="shared" si="13"/>
        <v>0</v>
      </c>
      <c r="N16" s="1949"/>
      <c r="O16" s="1937" t="str">
        <f t="shared" si="3"/>
        <v xml:space="preserve"> </v>
      </c>
      <c r="P16" s="1937" t="str">
        <f t="shared" si="4"/>
        <v xml:space="preserve"> </v>
      </c>
      <c r="Q16" s="723"/>
      <c r="R16" s="1939" t="str">
        <f t="shared" si="5"/>
        <v xml:space="preserve"> </v>
      </c>
      <c r="S16" s="1939" t="str">
        <f t="shared" si="1"/>
        <v xml:space="preserve"> </v>
      </c>
      <c r="T16" s="1937" t="str">
        <f t="shared" si="6"/>
        <v xml:space="preserve"> </v>
      </c>
      <c r="U16" s="34"/>
    </row>
    <row r="17" spans="1:22" s="133" customFormat="1" ht="18" customHeight="1">
      <c r="A17" s="3111" t="s">
        <v>980</v>
      </c>
      <c r="B17" s="3112" t="s">
        <v>1832</v>
      </c>
      <c r="C17" s="3113">
        <f t="shared" ref="C17:M17" si="14">+C28</f>
        <v>0</v>
      </c>
      <c r="D17" s="3113">
        <f>+D28</f>
        <v>0</v>
      </c>
      <c r="E17" s="3113">
        <f t="shared" si="14"/>
        <v>0</v>
      </c>
      <c r="F17" s="3113">
        <f t="shared" si="14"/>
        <v>0</v>
      </c>
      <c r="G17" s="3113">
        <f t="shared" si="14"/>
        <v>0</v>
      </c>
      <c r="H17" s="3113">
        <f t="shared" si="14"/>
        <v>0</v>
      </c>
      <c r="I17" s="3113">
        <f t="shared" si="14"/>
        <v>0</v>
      </c>
      <c r="J17" s="3113">
        <f t="shared" si="14"/>
        <v>0</v>
      </c>
      <c r="K17" s="3113">
        <f t="shared" si="14"/>
        <v>0</v>
      </c>
      <c r="L17" s="3113">
        <f t="shared" si="14"/>
        <v>0</v>
      </c>
      <c r="M17" s="3114">
        <f t="shared" si="14"/>
        <v>0</v>
      </c>
      <c r="N17" s="1949"/>
      <c r="O17" s="1937" t="str">
        <f t="shared" si="3"/>
        <v xml:space="preserve"> </v>
      </c>
      <c r="P17" s="1937" t="str">
        <f t="shared" si="4"/>
        <v xml:space="preserve"> </v>
      </c>
      <c r="Q17" s="723"/>
      <c r="R17" s="1939" t="str">
        <f t="shared" si="5"/>
        <v xml:space="preserve"> </v>
      </c>
      <c r="S17" s="1939" t="str">
        <f t="shared" si="1"/>
        <v xml:space="preserve"> </v>
      </c>
      <c r="T17" s="1937" t="str">
        <f t="shared" si="6"/>
        <v xml:space="preserve"> </v>
      </c>
      <c r="U17" s="34"/>
    </row>
    <row r="18" spans="1:22" s="133" customFormat="1" ht="18" customHeight="1">
      <c r="A18" s="3111" t="s">
        <v>872</v>
      </c>
      <c r="B18" s="3112" t="s">
        <v>1831</v>
      </c>
      <c r="C18" s="3113">
        <f>ROUND(+C19,1)</f>
        <v>602000</v>
      </c>
      <c r="D18" s="3113">
        <f>ROUND(+D19,1)</f>
        <v>302000</v>
      </c>
      <c r="E18" s="3113">
        <f>ROUND(+E19,1)</f>
        <v>602000</v>
      </c>
      <c r="F18" s="3113">
        <f t="shared" ref="F18:M18" si="15">ROUND(+F19,1)</f>
        <v>302000</v>
      </c>
      <c r="G18" s="3113">
        <f t="shared" si="15"/>
        <v>0</v>
      </c>
      <c r="H18" s="3113">
        <f t="shared" si="15"/>
        <v>0</v>
      </c>
      <c r="I18" s="3113">
        <f t="shared" si="15"/>
        <v>0</v>
      </c>
      <c r="J18" s="3113">
        <f t="shared" si="15"/>
        <v>0</v>
      </c>
      <c r="K18" s="3113">
        <f t="shared" si="15"/>
        <v>0</v>
      </c>
      <c r="L18" s="3113">
        <f t="shared" si="15"/>
        <v>0</v>
      </c>
      <c r="M18" s="3114">
        <f t="shared" si="15"/>
        <v>25868</v>
      </c>
      <c r="N18" s="1949"/>
      <c r="O18" s="1937" t="str">
        <f t="shared" si="3"/>
        <v xml:space="preserve"> </v>
      </c>
      <c r="P18" s="1937" t="str">
        <f t="shared" si="4"/>
        <v xml:space="preserve"> </v>
      </c>
      <c r="Q18" s="723"/>
      <c r="R18" s="1939" t="str">
        <f t="shared" si="5"/>
        <v xml:space="preserve"> </v>
      </c>
      <c r="S18" s="1939" t="str">
        <f t="shared" si="1"/>
        <v xml:space="preserve"> </v>
      </c>
      <c r="T18" s="1937" t="str">
        <f t="shared" si="6"/>
        <v xml:space="preserve"> </v>
      </c>
      <c r="U18" s="34"/>
    </row>
    <row r="19" spans="1:22" s="133" customFormat="1">
      <c r="A19" s="3111" t="s">
        <v>2426</v>
      </c>
      <c r="B19" s="3112" t="s">
        <v>1833</v>
      </c>
      <c r="C19" s="3113">
        <f t="shared" ref="C19:M19" si="16">+C30</f>
        <v>602000</v>
      </c>
      <c r="D19" s="3113">
        <f>+D30</f>
        <v>302000</v>
      </c>
      <c r="E19" s="3113">
        <f t="shared" si="16"/>
        <v>602000</v>
      </c>
      <c r="F19" s="3113">
        <f t="shared" si="16"/>
        <v>302000</v>
      </c>
      <c r="G19" s="3113">
        <f t="shared" si="16"/>
        <v>0</v>
      </c>
      <c r="H19" s="3113">
        <f t="shared" si="16"/>
        <v>0</v>
      </c>
      <c r="I19" s="3113">
        <f t="shared" si="16"/>
        <v>0</v>
      </c>
      <c r="J19" s="3113">
        <f t="shared" si="16"/>
        <v>0</v>
      </c>
      <c r="K19" s="3113">
        <f t="shared" si="16"/>
        <v>0</v>
      </c>
      <c r="L19" s="3113">
        <f t="shared" si="16"/>
        <v>0</v>
      </c>
      <c r="M19" s="3114">
        <f t="shared" si="16"/>
        <v>25868</v>
      </c>
      <c r="N19" s="1949"/>
      <c r="O19" s="1937" t="str">
        <f t="shared" si="3"/>
        <v xml:space="preserve"> </v>
      </c>
      <c r="P19" s="1937" t="str">
        <f t="shared" si="4"/>
        <v xml:space="preserve"> </v>
      </c>
      <c r="Q19" s="723"/>
      <c r="R19" s="1939" t="str">
        <f t="shared" si="5"/>
        <v xml:space="preserve"> </v>
      </c>
      <c r="S19" s="1939" t="str">
        <f t="shared" si="1"/>
        <v xml:space="preserve"> </v>
      </c>
      <c r="T19" s="1937" t="str">
        <f t="shared" si="6"/>
        <v xml:space="preserve"> </v>
      </c>
      <c r="U19" s="34"/>
    </row>
    <row r="20" spans="1:22" s="133" customFormat="1" ht="18" customHeight="1">
      <c r="A20" s="3111" t="s">
        <v>816</v>
      </c>
      <c r="B20" s="3115">
        <v>5005</v>
      </c>
      <c r="C20" s="3113">
        <f>+C21+C29</f>
        <v>437159530</v>
      </c>
      <c r="D20" s="3113">
        <f>+D21+D29</f>
        <v>279683140</v>
      </c>
      <c r="E20" s="3113">
        <f>+E21+E29</f>
        <v>407858970</v>
      </c>
      <c r="F20" s="3113">
        <f>+F21+F29</f>
        <v>247433070</v>
      </c>
      <c r="G20" s="3113">
        <f t="shared" ref="G20:L20" si="17">G8</f>
        <v>350425326</v>
      </c>
      <c r="H20" s="3113">
        <f t="shared" si="17"/>
        <v>438017959</v>
      </c>
      <c r="I20" s="3113">
        <f t="shared" si="17"/>
        <v>63537794</v>
      </c>
      <c r="J20" s="3113">
        <f t="shared" si="17"/>
        <v>374480165</v>
      </c>
      <c r="K20" s="3113">
        <f t="shared" si="17"/>
        <v>239735155</v>
      </c>
      <c r="L20" s="3113">
        <f t="shared" si="17"/>
        <v>198282804</v>
      </c>
      <c r="M20" s="3114">
        <f>+M21+M29</f>
        <v>206839089</v>
      </c>
      <c r="N20" s="1949"/>
      <c r="O20" s="1937" t="str">
        <f t="shared" si="3"/>
        <v xml:space="preserve"> </v>
      </c>
      <c r="P20" s="1937" t="str">
        <f t="shared" si="4"/>
        <v xml:space="preserve"> </v>
      </c>
      <c r="Q20" s="723"/>
      <c r="R20" s="1939" t="str">
        <f t="shared" si="5"/>
        <v xml:space="preserve"> </v>
      </c>
      <c r="S20" s="1939" t="str">
        <f t="shared" si="1"/>
        <v xml:space="preserve"> </v>
      </c>
      <c r="T20" s="1937" t="str">
        <f t="shared" si="6"/>
        <v xml:space="preserve"> </v>
      </c>
      <c r="U20" s="34"/>
    </row>
    <row r="21" spans="1:22" s="133" customFormat="1" ht="18" customHeight="1">
      <c r="A21" s="3111" t="s">
        <v>1578</v>
      </c>
      <c r="B21" s="3112" t="s">
        <v>1579</v>
      </c>
      <c r="C21" s="3113">
        <f t="shared" ref="C21:M21" si="18">+C22+C23+C24+C25+C26+C27+C28</f>
        <v>436557530</v>
      </c>
      <c r="D21" s="3113">
        <f>+D22+D23+D24+D25+D26+D27+D28</f>
        <v>279381140</v>
      </c>
      <c r="E21" s="3113">
        <f t="shared" si="18"/>
        <v>407256970</v>
      </c>
      <c r="F21" s="3113">
        <f t="shared" si="18"/>
        <v>247131070</v>
      </c>
      <c r="G21" s="3113">
        <f t="shared" si="18"/>
        <v>350606979</v>
      </c>
      <c r="H21" s="3113">
        <f t="shared" si="18"/>
        <v>438199612</v>
      </c>
      <c r="I21" s="3113">
        <f t="shared" si="18"/>
        <v>63537794</v>
      </c>
      <c r="J21" s="3113">
        <f t="shared" si="18"/>
        <v>374661818</v>
      </c>
      <c r="K21" s="3113">
        <f t="shared" si="18"/>
        <v>239916808</v>
      </c>
      <c r="L21" s="3113">
        <f t="shared" si="18"/>
        <v>198282804</v>
      </c>
      <c r="M21" s="3114">
        <f t="shared" si="18"/>
        <v>206813221</v>
      </c>
      <c r="N21" s="1949"/>
      <c r="O21" s="1937" t="str">
        <f t="shared" si="3"/>
        <v xml:space="preserve"> </v>
      </c>
      <c r="P21" s="1937" t="str">
        <f t="shared" si="4"/>
        <v xml:space="preserve"> </v>
      </c>
      <c r="Q21" s="723"/>
      <c r="R21" s="1939" t="str">
        <f t="shared" si="5"/>
        <v xml:space="preserve"> </v>
      </c>
      <c r="S21" s="1939" t="str">
        <f t="shared" si="1"/>
        <v xml:space="preserve"> </v>
      </c>
      <c r="T21" s="1937" t="str">
        <f t="shared" si="6"/>
        <v xml:space="preserve"> </v>
      </c>
      <c r="U21" s="34"/>
    </row>
    <row r="22" spans="1:22" s="133" customFormat="1" ht="25.5">
      <c r="A22" s="3111" t="s">
        <v>1511</v>
      </c>
      <c r="B22" s="3112" t="s">
        <v>1580</v>
      </c>
      <c r="C22" s="3113">
        <f t="shared" ref="C22:M22" si="19">+C35</f>
        <v>4930600</v>
      </c>
      <c r="D22" s="3113">
        <f>+D35</f>
        <v>2510140</v>
      </c>
      <c r="E22" s="3113">
        <f t="shared" si="19"/>
        <v>4930600</v>
      </c>
      <c r="F22" s="3113">
        <f t="shared" si="19"/>
        <v>2510140</v>
      </c>
      <c r="G22" s="3113">
        <f t="shared" si="19"/>
        <v>4930600</v>
      </c>
      <c r="H22" s="3113">
        <f t="shared" si="19"/>
        <v>4930600</v>
      </c>
      <c r="I22" s="3113">
        <f t="shared" si="19"/>
        <v>0</v>
      </c>
      <c r="J22" s="3113">
        <f t="shared" si="19"/>
        <v>4930600</v>
      </c>
      <c r="K22" s="3113">
        <f t="shared" si="19"/>
        <v>2468566</v>
      </c>
      <c r="L22" s="3113">
        <f t="shared" si="19"/>
        <v>2462034</v>
      </c>
      <c r="M22" s="3114">
        <f t="shared" si="19"/>
        <v>2490913</v>
      </c>
      <c r="N22" s="1949"/>
      <c r="O22" s="1937" t="str">
        <f t="shared" si="3"/>
        <v xml:space="preserve"> </v>
      </c>
      <c r="P22" s="1937" t="str">
        <f t="shared" si="4"/>
        <v xml:space="preserve"> </v>
      </c>
      <c r="Q22" s="723"/>
      <c r="R22" s="1939" t="str">
        <f t="shared" si="5"/>
        <v xml:space="preserve"> </v>
      </c>
      <c r="S22" s="1939" t="str">
        <f t="shared" si="1"/>
        <v xml:space="preserve"> </v>
      </c>
      <c r="T22" s="1937" t="str">
        <f t="shared" si="6"/>
        <v xml:space="preserve"> </v>
      </c>
      <c r="U22" s="34"/>
    </row>
    <row r="23" spans="1:22" s="133" customFormat="1" ht="18" customHeight="1">
      <c r="A23" s="3111" t="s">
        <v>1032</v>
      </c>
      <c r="B23" s="3112" t="s">
        <v>1581</v>
      </c>
      <c r="C23" s="3113">
        <f t="shared" ref="C23:M23" si="20">+C57</f>
        <v>305203060</v>
      </c>
      <c r="D23" s="3113">
        <f>+D57</f>
        <v>200124580</v>
      </c>
      <c r="E23" s="3113">
        <f t="shared" si="20"/>
        <v>275902500</v>
      </c>
      <c r="F23" s="3113">
        <f t="shared" si="20"/>
        <v>167874510</v>
      </c>
      <c r="G23" s="3113">
        <f t="shared" si="20"/>
        <v>275792078</v>
      </c>
      <c r="H23" s="3113">
        <f t="shared" si="20"/>
        <v>363384711</v>
      </c>
      <c r="I23" s="3113">
        <f t="shared" si="20"/>
        <v>63537794</v>
      </c>
      <c r="J23" s="3113">
        <f t="shared" si="20"/>
        <v>299846917</v>
      </c>
      <c r="K23" s="3113">
        <f t="shared" si="20"/>
        <v>167563941</v>
      </c>
      <c r="L23" s="3113">
        <f>+L57</f>
        <v>195820770</v>
      </c>
      <c r="M23" s="3114">
        <f t="shared" si="20"/>
        <v>134438007</v>
      </c>
      <c r="N23" s="1949"/>
      <c r="O23" s="1937" t="str">
        <f t="shared" si="3"/>
        <v xml:space="preserve"> </v>
      </c>
      <c r="P23" s="1937" t="str">
        <f t="shared" si="4"/>
        <v xml:space="preserve"> </v>
      </c>
      <c r="Q23" s="723"/>
      <c r="R23" s="1939" t="str">
        <f t="shared" si="5"/>
        <v xml:space="preserve"> </v>
      </c>
      <c r="S23" s="1939" t="str">
        <f t="shared" si="1"/>
        <v xml:space="preserve"> </v>
      </c>
      <c r="T23" s="1937" t="str">
        <f t="shared" si="6"/>
        <v xml:space="preserve"> </v>
      </c>
      <c r="U23" s="34"/>
    </row>
    <row r="24" spans="1:22" s="133" customFormat="1" ht="18" customHeight="1">
      <c r="A24" s="3111" t="s">
        <v>1531</v>
      </c>
      <c r="B24" s="3112" t="s">
        <v>1582</v>
      </c>
      <c r="C24" s="3113">
        <f t="shared" ref="C24:M24" si="21">+C86</f>
        <v>0</v>
      </c>
      <c r="D24" s="3113">
        <f>+D86</f>
        <v>0</v>
      </c>
      <c r="E24" s="3113">
        <f t="shared" si="21"/>
        <v>0</v>
      </c>
      <c r="F24" s="3113">
        <f t="shared" si="21"/>
        <v>0</v>
      </c>
      <c r="G24" s="3113">
        <f t="shared" si="21"/>
        <v>0</v>
      </c>
      <c r="H24" s="3113">
        <f t="shared" si="21"/>
        <v>0</v>
      </c>
      <c r="I24" s="3113">
        <f t="shared" si="21"/>
        <v>0</v>
      </c>
      <c r="J24" s="3113">
        <f t="shared" si="21"/>
        <v>0</v>
      </c>
      <c r="K24" s="3113">
        <f t="shared" si="21"/>
        <v>0</v>
      </c>
      <c r="L24" s="3113">
        <f t="shared" si="21"/>
        <v>0</v>
      </c>
      <c r="M24" s="3114">
        <f t="shared" si="21"/>
        <v>0</v>
      </c>
      <c r="N24" s="1949"/>
      <c r="O24" s="1937" t="str">
        <f t="shared" si="3"/>
        <v xml:space="preserve"> </v>
      </c>
      <c r="P24" s="1937" t="str">
        <f t="shared" si="4"/>
        <v xml:space="preserve"> </v>
      </c>
      <c r="Q24" s="723"/>
      <c r="R24" s="1939" t="str">
        <f t="shared" si="5"/>
        <v xml:space="preserve"> </v>
      </c>
      <c r="S24" s="1939" t="str">
        <f t="shared" si="1"/>
        <v xml:space="preserve"> </v>
      </c>
      <c r="T24" s="1937" t="str">
        <f t="shared" si="6"/>
        <v xml:space="preserve"> </v>
      </c>
      <c r="U24" s="34"/>
    </row>
    <row r="25" spans="1:22" s="133" customFormat="1" ht="38.25">
      <c r="A25" s="3111" t="s">
        <v>967</v>
      </c>
      <c r="B25" s="3112" t="s">
        <v>1584</v>
      </c>
      <c r="C25" s="3113">
        <f t="shared" ref="C25:M25" si="22">+C89</f>
        <v>111759870</v>
      </c>
      <c r="D25" s="3113">
        <f>+D89</f>
        <v>67163420</v>
      </c>
      <c r="E25" s="3113">
        <f t="shared" si="22"/>
        <v>111759870</v>
      </c>
      <c r="F25" s="3113">
        <f t="shared" si="22"/>
        <v>67163420</v>
      </c>
      <c r="G25" s="3113">
        <f t="shared" si="22"/>
        <v>60303790</v>
      </c>
      <c r="H25" s="3113">
        <f t="shared" si="22"/>
        <v>60303790</v>
      </c>
      <c r="I25" s="3113">
        <f t="shared" si="22"/>
        <v>0</v>
      </c>
      <c r="J25" s="3113">
        <f t="shared" si="22"/>
        <v>60303790</v>
      </c>
      <c r="K25" s="3113">
        <f t="shared" si="22"/>
        <v>60303790</v>
      </c>
      <c r="L25" s="3113">
        <f t="shared" si="22"/>
        <v>0</v>
      </c>
      <c r="M25" s="3114">
        <f t="shared" si="22"/>
        <v>60303790</v>
      </c>
      <c r="N25" s="1949"/>
      <c r="O25" s="1937" t="str">
        <f t="shared" si="3"/>
        <v xml:space="preserve"> </v>
      </c>
      <c r="P25" s="1937" t="str">
        <f t="shared" si="4"/>
        <v xml:space="preserve"> </v>
      </c>
      <c r="Q25" s="723"/>
      <c r="R25" s="1939" t="str">
        <f t="shared" si="5"/>
        <v xml:space="preserve"> </v>
      </c>
      <c r="S25" s="1939" t="str">
        <f t="shared" si="1"/>
        <v xml:space="preserve"> </v>
      </c>
      <c r="T25" s="1937" t="str">
        <f t="shared" si="6"/>
        <v xml:space="preserve"> </v>
      </c>
      <c r="U25" s="34"/>
    </row>
    <row r="26" spans="1:22" s="133" customFormat="1" ht="18" customHeight="1">
      <c r="A26" s="3111" t="s">
        <v>1585</v>
      </c>
      <c r="B26" s="3112" t="s">
        <v>1586</v>
      </c>
      <c r="C26" s="3113">
        <f t="shared" ref="C26:M26" si="23">+C292</f>
        <v>14664000</v>
      </c>
      <c r="D26" s="3113">
        <f>+D292</f>
        <v>9583000</v>
      </c>
      <c r="E26" s="3113">
        <f t="shared" si="23"/>
        <v>14664000</v>
      </c>
      <c r="F26" s="3113">
        <f t="shared" si="23"/>
        <v>9583000</v>
      </c>
      <c r="G26" s="3113">
        <f>G14</f>
        <v>9580511</v>
      </c>
      <c r="H26" s="3113">
        <f>H14</f>
        <v>9580511</v>
      </c>
      <c r="I26" s="3113">
        <f t="shared" si="23"/>
        <v>0</v>
      </c>
      <c r="J26" s="3113">
        <f>J14</f>
        <v>9580511</v>
      </c>
      <c r="K26" s="3113">
        <f>K14</f>
        <v>9580511</v>
      </c>
      <c r="L26" s="3113">
        <f t="shared" si="23"/>
        <v>0</v>
      </c>
      <c r="M26" s="3114">
        <f t="shared" si="23"/>
        <v>9580511</v>
      </c>
      <c r="N26" s="1949"/>
      <c r="O26" s="1937" t="str">
        <f t="shared" si="3"/>
        <v xml:space="preserve"> </v>
      </c>
      <c r="P26" s="1937" t="str">
        <f t="shared" si="4"/>
        <v xml:space="preserve"> </v>
      </c>
      <c r="Q26" s="723"/>
      <c r="R26" s="1939" t="str">
        <f t="shared" si="5"/>
        <v xml:space="preserve"> </v>
      </c>
      <c r="S26" s="1939" t="str">
        <f t="shared" si="1"/>
        <v xml:space="preserve"> </v>
      </c>
      <c r="T26" s="1937" t="str">
        <f t="shared" si="6"/>
        <v xml:space="preserve"> </v>
      </c>
      <c r="U26" s="34"/>
    </row>
    <row r="27" spans="1:22" s="133" customFormat="1" ht="51">
      <c r="A27" s="3111" t="s">
        <v>973</v>
      </c>
      <c r="B27" s="3112" t="s">
        <v>974</v>
      </c>
      <c r="C27" s="3113">
        <f t="shared" ref="C27:M27" si="24">+C106</f>
        <v>0</v>
      </c>
      <c r="D27" s="3113">
        <f>+D106</f>
        <v>0</v>
      </c>
      <c r="E27" s="3113">
        <f t="shared" si="24"/>
        <v>0</v>
      </c>
      <c r="F27" s="3113">
        <f t="shared" si="24"/>
        <v>0</v>
      </c>
      <c r="G27" s="3113">
        <f t="shared" si="24"/>
        <v>0</v>
      </c>
      <c r="H27" s="3113">
        <f t="shared" si="24"/>
        <v>0</v>
      </c>
      <c r="I27" s="3113">
        <f t="shared" si="24"/>
        <v>0</v>
      </c>
      <c r="J27" s="3113">
        <f t="shared" si="24"/>
        <v>0</v>
      </c>
      <c r="K27" s="3113">
        <f t="shared" si="24"/>
        <v>0</v>
      </c>
      <c r="L27" s="3113">
        <f t="shared" si="24"/>
        <v>0</v>
      </c>
      <c r="M27" s="3114">
        <f t="shared" si="24"/>
        <v>0</v>
      </c>
      <c r="N27" s="1949"/>
      <c r="O27" s="1937" t="str">
        <f t="shared" si="3"/>
        <v xml:space="preserve"> </v>
      </c>
      <c r="P27" s="1937" t="str">
        <f t="shared" si="4"/>
        <v xml:space="preserve"> </v>
      </c>
      <c r="Q27" s="723"/>
      <c r="R27" s="1939" t="str">
        <f t="shared" si="5"/>
        <v xml:space="preserve"> </v>
      </c>
      <c r="S27" s="1939" t="str">
        <f t="shared" si="1"/>
        <v xml:space="preserve"> </v>
      </c>
      <c r="T27" s="1937" t="str">
        <f t="shared" si="6"/>
        <v xml:space="preserve"> </v>
      </c>
      <c r="U27" s="34"/>
    </row>
    <row r="28" spans="1:22" s="133" customFormat="1" ht="18" customHeight="1">
      <c r="A28" s="3111" t="s">
        <v>980</v>
      </c>
      <c r="B28" s="3112" t="s">
        <v>1587</v>
      </c>
      <c r="C28" s="3113">
        <f t="shared" ref="C28:M28" si="25">+C119</f>
        <v>0</v>
      </c>
      <c r="D28" s="3113">
        <f>+D119</f>
        <v>0</v>
      </c>
      <c r="E28" s="3113">
        <f t="shared" si="25"/>
        <v>0</v>
      </c>
      <c r="F28" s="3113">
        <f t="shared" si="25"/>
        <v>0</v>
      </c>
      <c r="G28" s="3113">
        <f t="shared" si="25"/>
        <v>0</v>
      </c>
      <c r="H28" s="3113">
        <f t="shared" si="25"/>
        <v>0</v>
      </c>
      <c r="I28" s="3113">
        <f t="shared" si="25"/>
        <v>0</v>
      </c>
      <c r="J28" s="3113">
        <f t="shared" si="25"/>
        <v>0</v>
      </c>
      <c r="K28" s="3113">
        <f t="shared" si="25"/>
        <v>0</v>
      </c>
      <c r="L28" s="3113">
        <f t="shared" si="25"/>
        <v>0</v>
      </c>
      <c r="M28" s="3114">
        <f t="shared" si="25"/>
        <v>0</v>
      </c>
      <c r="N28" s="1949"/>
      <c r="O28" s="1937" t="str">
        <f t="shared" si="3"/>
        <v xml:space="preserve"> </v>
      </c>
      <c r="P28" s="1937" t="str">
        <f t="shared" si="4"/>
        <v xml:space="preserve"> </v>
      </c>
      <c r="Q28" s="723"/>
      <c r="R28" s="1939" t="str">
        <f t="shared" si="5"/>
        <v xml:space="preserve"> </v>
      </c>
      <c r="S28" s="1939" t="str">
        <f t="shared" si="1"/>
        <v xml:space="preserve"> </v>
      </c>
      <c r="T28" s="1937" t="str">
        <f t="shared" si="6"/>
        <v xml:space="preserve"> </v>
      </c>
      <c r="U28" s="34"/>
    </row>
    <row r="29" spans="1:22" s="133" customFormat="1">
      <c r="A29" s="3111" t="s">
        <v>872</v>
      </c>
      <c r="B29" s="3112" t="s">
        <v>1588</v>
      </c>
      <c r="C29" s="3113">
        <f t="shared" ref="C29:M29" si="26">+C122</f>
        <v>602000</v>
      </c>
      <c r="D29" s="3113">
        <f>+D122</f>
        <v>302000</v>
      </c>
      <c r="E29" s="3113">
        <f t="shared" si="26"/>
        <v>602000</v>
      </c>
      <c r="F29" s="3113">
        <f t="shared" si="26"/>
        <v>302000</v>
      </c>
      <c r="G29" s="3113">
        <f t="shared" si="26"/>
        <v>0</v>
      </c>
      <c r="H29" s="3113">
        <f t="shared" si="26"/>
        <v>0</v>
      </c>
      <c r="I29" s="3113">
        <f t="shared" si="26"/>
        <v>0</v>
      </c>
      <c r="J29" s="3113">
        <f t="shared" si="26"/>
        <v>0</v>
      </c>
      <c r="K29" s="3113">
        <f t="shared" si="26"/>
        <v>0</v>
      </c>
      <c r="L29" s="3113">
        <f t="shared" si="26"/>
        <v>0</v>
      </c>
      <c r="M29" s="3114">
        <f t="shared" si="26"/>
        <v>25868</v>
      </c>
      <c r="N29" s="1949"/>
      <c r="O29" s="1937" t="str">
        <f t="shared" si="3"/>
        <v xml:space="preserve"> </v>
      </c>
      <c r="P29" s="1937" t="str">
        <f t="shared" si="4"/>
        <v xml:space="preserve"> </v>
      </c>
      <c r="Q29" s="723"/>
      <c r="R29" s="1939" t="str">
        <f t="shared" si="5"/>
        <v xml:space="preserve"> </v>
      </c>
      <c r="S29" s="1939" t="str">
        <f t="shared" si="1"/>
        <v xml:space="preserve"> </v>
      </c>
      <c r="T29" s="1937" t="str">
        <f t="shared" si="6"/>
        <v xml:space="preserve"> </v>
      </c>
      <c r="U29" s="34"/>
    </row>
    <row r="30" spans="1:22" s="133" customFormat="1">
      <c r="A30" s="3111" t="s">
        <v>2426</v>
      </c>
      <c r="B30" s="3112" t="s">
        <v>1589</v>
      </c>
      <c r="C30" s="3113">
        <f t="shared" ref="C30:M30" si="27">+C123</f>
        <v>602000</v>
      </c>
      <c r="D30" s="3113">
        <f>+D123</f>
        <v>302000</v>
      </c>
      <c r="E30" s="3113">
        <f t="shared" si="27"/>
        <v>602000</v>
      </c>
      <c r="F30" s="3113">
        <f t="shared" si="27"/>
        <v>302000</v>
      </c>
      <c r="G30" s="3113">
        <f t="shared" si="27"/>
        <v>0</v>
      </c>
      <c r="H30" s="3113">
        <f t="shared" si="27"/>
        <v>0</v>
      </c>
      <c r="I30" s="3113">
        <f t="shared" si="27"/>
        <v>0</v>
      </c>
      <c r="J30" s="3113">
        <f t="shared" si="27"/>
        <v>0</v>
      </c>
      <c r="K30" s="3113">
        <f t="shared" si="27"/>
        <v>0</v>
      </c>
      <c r="L30" s="3113">
        <f t="shared" si="27"/>
        <v>0</v>
      </c>
      <c r="M30" s="3114">
        <f t="shared" si="27"/>
        <v>25868</v>
      </c>
      <c r="N30" s="1949"/>
      <c r="O30" s="1937" t="str">
        <f t="shared" si="3"/>
        <v xml:space="preserve"> </v>
      </c>
      <c r="P30" s="1937" t="str">
        <f t="shared" si="4"/>
        <v xml:space="preserve"> </v>
      </c>
      <c r="Q30" s="723"/>
      <c r="R30" s="1939" t="str">
        <f t="shared" si="5"/>
        <v xml:space="preserve"> </v>
      </c>
      <c r="S30" s="1939" t="str">
        <f t="shared" si="1"/>
        <v xml:space="preserve"> </v>
      </c>
      <c r="T30" s="1937" t="str">
        <f t="shared" si="6"/>
        <v xml:space="preserve"> </v>
      </c>
      <c r="U30" s="34"/>
    </row>
    <row r="31" spans="1:22" s="133" customFormat="1" ht="25.5">
      <c r="A31" s="3111" t="s">
        <v>818</v>
      </c>
      <c r="B31" s="3112" t="s">
        <v>819</v>
      </c>
      <c r="C31" s="3113">
        <f>+C32+C29</f>
        <v>437159530</v>
      </c>
      <c r="D31" s="3113">
        <f>+D32+D29</f>
        <v>279683140</v>
      </c>
      <c r="E31" s="3113">
        <f>+E32+E29</f>
        <v>407858970</v>
      </c>
      <c r="F31" s="3113">
        <f>+F32+F29</f>
        <v>247433070</v>
      </c>
      <c r="G31" s="3113">
        <f t="shared" ref="G31:M31" si="28">+G8</f>
        <v>350425326</v>
      </c>
      <c r="H31" s="3113">
        <f t="shared" si="28"/>
        <v>438017959</v>
      </c>
      <c r="I31" s="3113">
        <f t="shared" si="28"/>
        <v>63537794</v>
      </c>
      <c r="J31" s="3113">
        <f t="shared" si="28"/>
        <v>374480165</v>
      </c>
      <c r="K31" s="3113">
        <f t="shared" si="28"/>
        <v>239735155</v>
      </c>
      <c r="L31" s="3113">
        <f t="shared" si="28"/>
        <v>198282804</v>
      </c>
      <c r="M31" s="3114">
        <f t="shared" si="28"/>
        <v>206839089</v>
      </c>
      <c r="N31" s="1949"/>
      <c r="O31" s="1937" t="str">
        <f t="shared" si="3"/>
        <v xml:space="preserve"> </v>
      </c>
      <c r="P31" s="1937" t="str">
        <f t="shared" si="4"/>
        <v xml:space="preserve"> </v>
      </c>
      <c r="Q31" s="723"/>
      <c r="R31" s="1939" t="str">
        <f t="shared" si="5"/>
        <v xml:space="preserve"> </v>
      </c>
      <c r="S31" s="1939" t="str">
        <f t="shared" si="1"/>
        <v xml:space="preserve"> </v>
      </c>
      <c r="T31" s="1937" t="str">
        <f t="shared" si="6"/>
        <v xml:space="preserve"> </v>
      </c>
      <c r="U31" s="34"/>
      <c r="V31" s="42"/>
    </row>
    <row r="32" spans="1:22" s="133" customFormat="1" ht="18" customHeight="1">
      <c r="A32" s="3111" t="s">
        <v>1578</v>
      </c>
      <c r="B32" s="3112" t="s">
        <v>1590</v>
      </c>
      <c r="C32" s="3113">
        <f t="shared" ref="C32:M32" si="29">ROUND(+C34+C14,1)</f>
        <v>436557530</v>
      </c>
      <c r="D32" s="3113">
        <f>ROUND(+D34+D14,1)</f>
        <v>279381140</v>
      </c>
      <c r="E32" s="3113">
        <f t="shared" si="29"/>
        <v>407256970</v>
      </c>
      <c r="F32" s="3113">
        <f t="shared" si="29"/>
        <v>247131070</v>
      </c>
      <c r="G32" s="3113">
        <f t="shared" si="29"/>
        <v>350606979</v>
      </c>
      <c r="H32" s="3113">
        <f t="shared" si="29"/>
        <v>438199612</v>
      </c>
      <c r="I32" s="3113">
        <f t="shared" si="29"/>
        <v>63537794</v>
      </c>
      <c r="J32" s="3113">
        <f t="shared" si="29"/>
        <v>374661818</v>
      </c>
      <c r="K32" s="3113">
        <f t="shared" si="29"/>
        <v>239916808</v>
      </c>
      <c r="L32" s="3113">
        <f t="shared" si="29"/>
        <v>198282804</v>
      </c>
      <c r="M32" s="3114">
        <f t="shared" si="29"/>
        <v>206813221</v>
      </c>
      <c r="N32" s="1949"/>
      <c r="O32" s="1937" t="str">
        <f t="shared" si="3"/>
        <v xml:space="preserve"> </v>
      </c>
      <c r="P32" s="1937" t="str">
        <f t="shared" si="4"/>
        <v xml:space="preserve"> </v>
      </c>
      <c r="Q32" s="723"/>
      <c r="R32" s="1939" t="str">
        <f t="shared" si="5"/>
        <v xml:space="preserve"> </v>
      </c>
      <c r="S32" s="1939" t="str">
        <f t="shared" si="1"/>
        <v xml:space="preserve"> </v>
      </c>
      <c r="T32" s="1937" t="str">
        <f t="shared" si="6"/>
        <v xml:space="preserve"> </v>
      </c>
      <c r="U32" s="34"/>
      <c r="V32" s="42"/>
    </row>
    <row r="33" spans="1:22" s="133" customFormat="1" ht="18" customHeight="1">
      <c r="A33" s="3111" t="s">
        <v>820</v>
      </c>
      <c r="B33" s="3112" t="s">
        <v>821</v>
      </c>
      <c r="C33" s="3113">
        <f>C34+C29</f>
        <v>422495530</v>
      </c>
      <c r="D33" s="3113">
        <f>D34+D29</f>
        <v>270100140</v>
      </c>
      <c r="E33" s="3113">
        <f>E34+E29</f>
        <v>393194970</v>
      </c>
      <c r="F33" s="3113">
        <f>F34+F29</f>
        <v>237850070</v>
      </c>
      <c r="G33" s="3113">
        <f t="shared" ref="G33:M33" si="30">G34+G29+G132</f>
        <v>340885349</v>
      </c>
      <c r="H33" s="3113">
        <f t="shared" si="30"/>
        <v>428477982</v>
      </c>
      <c r="I33" s="3113">
        <f t="shared" si="30"/>
        <v>63537794</v>
      </c>
      <c r="J33" s="3113">
        <f t="shared" si="30"/>
        <v>364940188</v>
      </c>
      <c r="K33" s="3113">
        <f t="shared" si="30"/>
        <v>230195178</v>
      </c>
      <c r="L33" s="3113">
        <f t="shared" si="30"/>
        <v>198282804</v>
      </c>
      <c r="M33" s="3114">
        <f t="shared" si="30"/>
        <v>197258578</v>
      </c>
      <c r="N33" s="1949"/>
      <c r="O33" s="1937" t="str">
        <f t="shared" si="3"/>
        <v xml:space="preserve"> </v>
      </c>
      <c r="P33" s="1937" t="str">
        <f t="shared" si="4"/>
        <v xml:space="preserve"> </v>
      </c>
      <c r="Q33" s="723"/>
      <c r="R33" s="1939" t="str">
        <f t="shared" si="5"/>
        <v xml:space="preserve"> </v>
      </c>
      <c r="S33" s="1939" t="str">
        <f t="shared" si="1"/>
        <v xml:space="preserve"> </v>
      </c>
      <c r="T33" s="1937" t="str">
        <f t="shared" si="6"/>
        <v xml:space="preserve"> </v>
      </c>
      <c r="U33" s="34"/>
      <c r="V33" s="42"/>
    </row>
    <row r="34" spans="1:22" s="133" customFormat="1" ht="24" customHeight="1">
      <c r="A34" s="3191" t="s">
        <v>1578</v>
      </c>
      <c r="B34" s="3192" t="s">
        <v>823</v>
      </c>
      <c r="C34" s="3193">
        <f t="shared" ref="C34:M34" si="31">ROUND(+C35+C57+C86+C89+C106+C119,1)</f>
        <v>421893530</v>
      </c>
      <c r="D34" s="3193">
        <f>ROUND(+D35+D57+D86+D89+D106+D119,1)</f>
        <v>269798140</v>
      </c>
      <c r="E34" s="3193">
        <f t="shared" si="31"/>
        <v>392592970</v>
      </c>
      <c r="F34" s="3193">
        <f t="shared" si="31"/>
        <v>237548070</v>
      </c>
      <c r="G34" s="3193">
        <f t="shared" si="31"/>
        <v>341026468</v>
      </c>
      <c r="H34" s="3193">
        <f t="shared" si="31"/>
        <v>428619101</v>
      </c>
      <c r="I34" s="3193">
        <f t="shared" si="31"/>
        <v>63537794</v>
      </c>
      <c r="J34" s="3193">
        <f t="shared" si="31"/>
        <v>365081307</v>
      </c>
      <c r="K34" s="3193">
        <f t="shared" si="31"/>
        <v>230336297</v>
      </c>
      <c r="L34" s="3193">
        <f t="shared" si="31"/>
        <v>198282804</v>
      </c>
      <c r="M34" s="3194">
        <f t="shared" si="31"/>
        <v>197232710</v>
      </c>
      <c r="N34" s="1949"/>
      <c r="O34" s="1937" t="str">
        <f t="shared" si="3"/>
        <v xml:space="preserve"> </v>
      </c>
      <c r="P34" s="1937" t="str">
        <f t="shared" si="4"/>
        <v xml:space="preserve"> </v>
      </c>
      <c r="Q34" s="723"/>
      <c r="R34" s="1939" t="str">
        <f t="shared" si="5"/>
        <v xml:space="preserve"> </v>
      </c>
      <c r="S34" s="1939" t="str">
        <f t="shared" si="1"/>
        <v xml:space="preserve"> </v>
      </c>
      <c r="T34" s="1937" t="str">
        <f t="shared" si="6"/>
        <v xml:space="preserve"> </v>
      </c>
      <c r="U34" s="34"/>
      <c r="V34" s="42"/>
    </row>
    <row r="35" spans="1:22" s="133" customFormat="1" ht="25.5">
      <c r="A35" s="3934" t="s">
        <v>1511</v>
      </c>
      <c r="B35" s="2716" t="s">
        <v>1512</v>
      </c>
      <c r="C35" s="2717">
        <f>ROUND(+C36+C48+C46,1)</f>
        <v>4930600</v>
      </c>
      <c r="D35" s="2717">
        <f>ROUND(+D36+D48+D46,1)</f>
        <v>2510140</v>
      </c>
      <c r="E35" s="2717">
        <f>ROUND(+E36+E48+E46,1)</f>
        <v>4930600</v>
      </c>
      <c r="F35" s="2717">
        <f>ROUND(+F36+F48+F46,1)</f>
        <v>2510140</v>
      </c>
      <c r="G35" s="2717">
        <f t="shared" ref="G35:L35" si="32">ROUND(+G36+G48+G46,1)</f>
        <v>4930600</v>
      </c>
      <c r="H35" s="2717">
        <f t="shared" si="32"/>
        <v>4930600</v>
      </c>
      <c r="I35" s="2717">
        <f t="shared" si="32"/>
        <v>0</v>
      </c>
      <c r="J35" s="2717">
        <f t="shared" si="32"/>
        <v>4930600</v>
      </c>
      <c r="K35" s="2717">
        <f t="shared" si="32"/>
        <v>2468566</v>
      </c>
      <c r="L35" s="2717">
        <f t="shared" si="32"/>
        <v>2462034</v>
      </c>
      <c r="M35" s="2718">
        <f>ROUND(+M36+M48+M46,1)</f>
        <v>2490913</v>
      </c>
      <c r="N35" s="1949"/>
      <c r="O35" s="1938" t="str">
        <f>IF('CREDITE BUG'!D16&lt;&gt;'CONT EXECUTIE  '!K35," EROARE"," ")</f>
        <v xml:space="preserve"> </v>
      </c>
      <c r="P35" s="1938" t="str">
        <f>IF('ANEXA 2'!E16&lt;&gt;'CONT EXECUTIE  '!M35+M107-'ANEXA 2 SOLDURI'!B72-'ANEXA 2 SOLDURI'!B60-'ANEXA 2 SOLDURI'!B88," EROARE"," ")</f>
        <v xml:space="preserve"> </v>
      </c>
      <c r="Q35" s="1937" t="str">
        <f>IF(E35&lt;H35," EROARE"," ")</f>
        <v xml:space="preserve"> </v>
      </c>
      <c r="R35" s="1939" t="str">
        <f t="shared" si="5"/>
        <v xml:space="preserve"> </v>
      </c>
      <c r="S35" s="1939" t="str">
        <f t="shared" si="1"/>
        <v xml:space="preserve"> </v>
      </c>
      <c r="T35" s="1937" t="str">
        <f t="shared" si="6"/>
        <v xml:space="preserve"> </v>
      </c>
      <c r="U35" s="3028" t="str">
        <f>IF(L35&lt;&gt;0," EROARE"," ")</f>
        <v xml:space="preserve"> EROARE</v>
      </c>
      <c r="V35" s="42"/>
    </row>
    <row r="36" spans="1:22" s="133" customFormat="1" ht="18" customHeight="1">
      <c r="A36" s="3111" t="s">
        <v>1513</v>
      </c>
      <c r="B36" s="3112" t="s">
        <v>1514</v>
      </c>
      <c r="C36" s="3113">
        <f>SUM(C37:C44)</f>
        <v>4757000</v>
      </c>
      <c r="D36" s="3113">
        <f>SUM(D37:D44)</f>
        <v>2389990</v>
      </c>
      <c r="E36" s="3113">
        <f t="shared" ref="E36:L36" si="33">SUM(E37:E44)</f>
        <v>4757000</v>
      </c>
      <c r="F36" s="3113">
        <f t="shared" si="33"/>
        <v>2389990</v>
      </c>
      <c r="G36" s="3113">
        <f t="shared" si="33"/>
        <v>4757000</v>
      </c>
      <c r="H36" s="3113">
        <f t="shared" si="33"/>
        <v>4757000</v>
      </c>
      <c r="I36" s="3113">
        <f t="shared" si="33"/>
        <v>0</v>
      </c>
      <c r="J36" s="3113">
        <f t="shared" si="33"/>
        <v>4757000</v>
      </c>
      <c r="K36" s="3113">
        <f t="shared" si="33"/>
        <v>2350207</v>
      </c>
      <c r="L36" s="3113">
        <f t="shared" si="33"/>
        <v>2406793</v>
      </c>
      <c r="M36" s="3114">
        <f>SUM(M37:M44)</f>
        <v>2372337</v>
      </c>
      <c r="N36" s="1958" t="str">
        <f>IF(L36&lt;&gt;0," EROARE"," ")</f>
        <v xml:space="preserve"> EROARE</v>
      </c>
      <c r="O36" s="1937" t="str">
        <f t="shared" ref="O36" si="34">IF(F36&lt;K36," EROARE"," ")</f>
        <v xml:space="preserve"> </v>
      </c>
      <c r="P36" s="1937" t="str">
        <f t="shared" si="4"/>
        <v xml:space="preserve"> </v>
      </c>
      <c r="Q36" s="1937" t="str">
        <f t="shared" ref="Q36:Q56" si="35">IF(E36&lt;H36," EROARE"," ")</f>
        <v xml:space="preserve"> </v>
      </c>
      <c r="R36" s="1939" t="str">
        <f t="shared" si="5"/>
        <v xml:space="preserve"> </v>
      </c>
      <c r="S36" s="1939" t="str">
        <f t="shared" si="1"/>
        <v xml:space="preserve"> </v>
      </c>
      <c r="T36" s="1937" t="str">
        <f t="shared" si="6"/>
        <v xml:space="preserve"> </v>
      </c>
      <c r="U36" s="3028" t="str">
        <f t="shared" ref="U36:U56" si="36">IF(L36&lt;&gt;0," EROARE"," ")</f>
        <v xml:space="preserve"> EROARE</v>
      </c>
      <c r="V36" s="42"/>
    </row>
    <row r="37" spans="1:22" s="728" customFormat="1" ht="18" customHeight="1">
      <c r="A37" s="3116" t="s">
        <v>863</v>
      </c>
      <c r="B37" s="3044" t="s">
        <v>1515</v>
      </c>
      <c r="C37" s="3045">
        <v>3835000</v>
      </c>
      <c r="D37" s="3045">
        <v>1899500</v>
      </c>
      <c r="E37" s="3045">
        <v>3835000</v>
      </c>
      <c r="F37" s="3045">
        <v>1899500</v>
      </c>
      <c r="G37" s="3058">
        <f>'ANGAJ BUGETAR'!C14</f>
        <v>3835000</v>
      </c>
      <c r="H37" s="3117">
        <f t="shared" ref="H37:H45" si="37">+I37+J37</f>
        <v>3835000</v>
      </c>
      <c r="I37" s="3058">
        <f>'ANGAJAM LEGAL '!D14</f>
        <v>0</v>
      </c>
      <c r="J37" s="3058">
        <f>'ANGAJAM LEGAL '!E14</f>
        <v>3835000</v>
      </c>
      <c r="K37" s="3058">
        <f>PLATI!C14</f>
        <v>1880022</v>
      </c>
      <c r="L37" s="3058">
        <f t="shared" ref="L37:L45" si="38">ROUND(H37-K37,1)</f>
        <v>1954978</v>
      </c>
      <c r="M37" s="3047">
        <v>1915657</v>
      </c>
      <c r="N37" s="1958" t="str">
        <f t="shared" ref="N37:N56" si="39">IF(L37&lt;&gt;0," EROARE"," ")</f>
        <v xml:space="preserve"> EROARE</v>
      </c>
      <c r="O37" s="1937" t="str">
        <f t="shared" ref="O37:O56" si="40">IF(F37&lt;K37," EROARE"," ")</f>
        <v xml:space="preserve"> </v>
      </c>
      <c r="P37" s="1937" t="str">
        <f t="shared" si="4"/>
        <v xml:space="preserve"> </v>
      </c>
      <c r="Q37" s="1937" t="str">
        <f t="shared" si="35"/>
        <v xml:space="preserve"> </v>
      </c>
      <c r="R37" s="1939" t="str">
        <f t="shared" si="5"/>
        <v xml:space="preserve"> </v>
      </c>
      <c r="S37" s="1939" t="str">
        <f t="shared" si="1"/>
        <v xml:space="preserve"> </v>
      </c>
      <c r="T37" s="1937" t="str">
        <f t="shared" si="6"/>
        <v xml:space="preserve"> </v>
      </c>
      <c r="U37" s="3028" t="str">
        <f t="shared" si="36"/>
        <v xml:space="preserve"> EROARE</v>
      </c>
      <c r="V37" s="727"/>
    </row>
    <row r="38" spans="1:22" s="728" customFormat="1" ht="18" customHeight="1">
      <c r="A38" s="3116" t="s">
        <v>1849</v>
      </c>
      <c r="B38" s="3044" t="s">
        <v>1848</v>
      </c>
      <c r="C38" s="3045">
        <v>484000</v>
      </c>
      <c r="D38" s="3045">
        <v>248190</v>
      </c>
      <c r="E38" s="3045">
        <v>484000</v>
      </c>
      <c r="F38" s="3045">
        <v>248190</v>
      </c>
      <c r="G38" s="3058">
        <f>'ANGAJ BUGETAR'!C15</f>
        <v>484000</v>
      </c>
      <c r="H38" s="3117">
        <f t="shared" si="37"/>
        <v>484000</v>
      </c>
      <c r="I38" s="3058">
        <f>'ANGAJAM LEGAL '!D15</f>
        <v>0</v>
      </c>
      <c r="J38" s="3058">
        <f>'ANGAJAM LEGAL '!E15</f>
        <v>484000</v>
      </c>
      <c r="K38" s="3058">
        <f>PLATI!C15</f>
        <v>244624</v>
      </c>
      <c r="L38" s="3058">
        <f t="shared" si="38"/>
        <v>239376</v>
      </c>
      <c r="M38" s="3047">
        <v>242018</v>
      </c>
      <c r="N38" s="1958" t="str">
        <f t="shared" si="39"/>
        <v xml:space="preserve"> EROARE</v>
      </c>
      <c r="O38" s="1937" t="str">
        <f t="shared" si="40"/>
        <v xml:space="preserve"> </v>
      </c>
      <c r="P38" s="1937" t="str">
        <f t="shared" si="4"/>
        <v xml:space="preserve"> </v>
      </c>
      <c r="Q38" s="1937" t="str">
        <f t="shared" si="35"/>
        <v xml:space="preserve"> </v>
      </c>
      <c r="R38" s="1939" t="str">
        <f t="shared" si="5"/>
        <v xml:space="preserve"> </v>
      </c>
      <c r="S38" s="1939" t="str">
        <f t="shared" si="1"/>
        <v xml:space="preserve"> </v>
      </c>
      <c r="T38" s="1937" t="str">
        <f t="shared" si="6"/>
        <v xml:space="preserve"> </v>
      </c>
      <c r="U38" s="3028" t="str">
        <f t="shared" si="36"/>
        <v xml:space="preserve"> EROARE</v>
      </c>
      <c r="V38" s="727"/>
    </row>
    <row r="39" spans="1:22" s="728" customFormat="1" ht="18" customHeight="1">
      <c r="A39" s="3116" t="s">
        <v>2052</v>
      </c>
      <c r="B39" s="3044" t="s">
        <v>2054</v>
      </c>
      <c r="C39" s="3045">
        <v>149000</v>
      </c>
      <c r="D39" s="3045">
        <v>82400</v>
      </c>
      <c r="E39" s="3045">
        <v>149000</v>
      </c>
      <c r="F39" s="3045">
        <v>82400</v>
      </c>
      <c r="G39" s="3058">
        <f>'ANGAJ BUGETAR'!C16</f>
        <v>149000</v>
      </c>
      <c r="H39" s="3117">
        <f t="shared" si="37"/>
        <v>149000</v>
      </c>
      <c r="I39" s="3058">
        <f>'ANGAJAM LEGAL '!D16</f>
        <v>0</v>
      </c>
      <c r="J39" s="3058">
        <f>'ANGAJAM LEGAL '!E16</f>
        <v>149000</v>
      </c>
      <c r="K39" s="3058">
        <f>PLATI!C16</f>
        <v>82214</v>
      </c>
      <c r="L39" s="3058">
        <f t="shared" si="38"/>
        <v>66786</v>
      </c>
      <c r="M39" s="3047">
        <v>82222</v>
      </c>
      <c r="N39" s="1958" t="str">
        <f t="shared" si="39"/>
        <v xml:space="preserve"> EROARE</v>
      </c>
      <c r="O39" s="1937" t="str">
        <f t="shared" si="40"/>
        <v xml:space="preserve"> </v>
      </c>
      <c r="P39" s="1937" t="str">
        <f t="shared" si="4"/>
        <v xml:space="preserve"> </v>
      </c>
      <c r="Q39" s="1937" t="str">
        <f t="shared" si="35"/>
        <v xml:space="preserve"> </v>
      </c>
      <c r="R39" s="1939" t="str">
        <f t="shared" si="5"/>
        <v xml:space="preserve"> </v>
      </c>
      <c r="S39" s="1939" t="str">
        <f t="shared" si="1"/>
        <v xml:space="preserve"> </v>
      </c>
      <c r="T39" s="1937" t="str">
        <f t="shared" si="6"/>
        <v xml:space="preserve"> </v>
      </c>
      <c r="U39" s="3028" t="str">
        <f t="shared" si="36"/>
        <v xml:space="preserve"> EROARE</v>
      </c>
      <c r="V39" s="727"/>
    </row>
    <row r="40" spans="1:22" s="728" customFormat="1" ht="25.5">
      <c r="A40" s="3116" t="s">
        <v>903</v>
      </c>
      <c r="B40" s="3044" t="s">
        <v>1516</v>
      </c>
      <c r="C40" s="3045">
        <v>13000</v>
      </c>
      <c r="D40" s="3046">
        <v>7700</v>
      </c>
      <c r="E40" s="3045">
        <v>13000</v>
      </c>
      <c r="F40" s="3046">
        <v>7700</v>
      </c>
      <c r="G40" s="3058">
        <f>'ANGAJ BUGETAR'!C17</f>
        <v>13000</v>
      </c>
      <c r="H40" s="3117">
        <f t="shared" si="37"/>
        <v>13000</v>
      </c>
      <c r="I40" s="3058">
        <f>'ANGAJAM LEGAL '!D17</f>
        <v>0</v>
      </c>
      <c r="J40" s="3058">
        <f>'ANGAJAM LEGAL '!E17</f>
        <v>13000</v>
      </c>
      <c r="K40" s="3058">
        <f>PLATI!C17</f>
        <v>6956</v>
      </c>
      <c r="L40" s="3058">
        <f t="shared" si="38"/>
        <v>6044</v>
      </c>
      <c r="M40" s="3047">
        <v>6512</v>
      </c>
      <c r="N40" s="1958" t="str">
        <f t="shared" si="39"/>
        <v xml:space="preserve"> EROARE</v>
      </c>
      <c r="O40" s="1937" t="str">
        <f t="shared" si="40"/>
        <v xml:space="preserve"> </v>
      </c>
      <c r="P40" s="1937" t="str">
        <f t="shared" si="4"/>
        <v xml:space="preserve"> </v>
      </c>
      <c r="Q40" s="1937" t="str">
        <f t="shared" si="35"/>
        <v xml:space="preserve"> </v>
      </c>
      <c r="R40" s="1939" t="str">
        <f t="shared" si="5"/>
        <v xml:space="preserve"> </v>
      </c>
      <c r="S40" s="1939" t="str">
        <f t="shared" si="1"/>
        <v xml:space="preserve"> </v>
      </c>
      <c r="T40" s="1937" t="str">
        <f t="shared" si="6"/>
        <v xml:space="preserve"> </v>
      </c>
      <c r="U40" s="3028" t="str">
        <f t="shared" si="36"/>
        <v xml:space="preserve"> EROARE</v>
      </c>
      <c r="V40" s="727"/>
    </row>
    <row r="41" spans="1:22" s="728" customFormat="1" ht="18" customHeight="1">
      <c r="A41" s="3116" t="s">
        <v>2094</v>
      </c>
      <c r="B41" s="3044" t="s">
        <v>1517</v>
      </c>
      <c r="C41" s="3045">
        <v>1000</v>
      </c>
      <c r="D41" s="3046">
        <v>500</v>
      </c>
      <c r="E41" s="3045">
        <v>1000</v>
      </c>
      <c r="F41" s="3046">
        <v>500</v>
      </c>
      <c r="G41" s="3058">
        <f>'ANGAJ BUGETAR'!C18</f>
        <v>1000</v>
      </c>
      <c r="H41" s="3117">
        <f t="shared" si="37"/>
        <v>1000</v>
      </c>
      <c r="I41" s="3058">
        <f>'ANGAJAM LEGAL '!D18</f>
        <v>0</v>
      </c>
      <c r="J41" s="3058">
        <f>'ANGAJAM LEGAL '!E18</f>
        <v>1000</v>
      </c>
      <c r="K41" s="3058">
        <f>PLATI!C18</f>
        <v>0</v>
      </c>
      <c r="L41" s="3058">
        <f t="shared" si="38"/>
        <v>1000</v>
      </c>
      <c r="M41" s="3047"/>
      <c r="N41" s="1958" t="str">
        <f t="shared" si="39"/>
        <v xml:space="preserve"> EROARE</v>
      </c>
      <c r="O41" s="1937" t="str">
        <f t="shared" si="40"/>
        <v xml:space="preserve"> </v>
      </c>
      <c r="P41" s="1937" t="str">
        <f t="shared" si="4"/>
        <v xml:space="preserve"> </v>
      </c>
      <c r="Q41" s="1937" t="str">
        <f t="shared" si="35"/>
        <v xml:space="preserve"> </v>
      </c>
      <c r="R41" s="1939" t="str">
        <f t="shared" si="5"/>
        <v xml:space="preserve"> </v>
      </c>
      <c r="S41" s="1939" t="str">
        <f t="shared" si="1"/>
        <v xml:space="preserve"> </v>
      </c>
      <c r="T41" s="1937" t="str">
        <f t="shared" si="6"/>
        <v xml:space="preserve"> </v>
      </c>
      <c r="U41" s="3028" t="str">
        <f t="shared" si="36"/>
        <v xml:space="preserve"> EROARE</v>
      </c>
      <c r="V41" s="727"/>
    </row>
    <row r="42" spans="1:22" s="729" customFormat="1" ht="18" customHeight="1">
      <c r="A42" s="3118" t="s">
        <v>905</v>
      </c>
      <c r="B42" s="3044" t="s">
        <v>1518</v>
      </c>
      <c r="C42" s="3045"/>
      <c r="D42" s="3046"/>
      <c r="E42" s="3045"/>
      <c r="F42" s="3046"/>
      <c r="G42" s="3058">
        <f>'ANGAJ BUGETAR'!C19</f>
        <v>0</v>
      </c>
      <c r="H42" s="3117">
        <f t="shared" si="37"/>
        <v>0</v>
      </c>
      <c r="I42" s="3058">
        <f>'ANGAJAM LEGAL '!D19</f>
        <v>0</v>
      </c>
      <c r="J42" s="3058">
        <f>'ANGAJAM LEGAL '!E19</f>
        <v>0</v>
      </c>
      <c r="K42" s="3058">
        <f>PLATI!C19</f>
        <v>0</v>
      </c>
      <c r="L42" s="3058">
        <f t="shared" si="38"/>
        <v>0</v>
      </c>
      <c r="M42" s="3047"/>
      <c r="N42" s="1958" t="str">
        <f t="shared" si="39"/>
        <v xml:space="preserve"> </v>
      </c>
      <c r="O42" s="1937" t="str">
        <f t="shared" si="40"/>
        <v xml:space="preserve"> </v>
      </c>
      <c r="P42" s="1937" t="str">
        <f t="shared" si="4"/>
        <v xml:space="preserve"> </v>
      </c>
      <c r="Q42" s="1937" t="str">
        <f t="shared" si="35"/>
        <v xml:space="preserve"> </v>
      </c>
      <c r="R42" s="1939" t="str">
        <f t="shared" si="5"/>
        <v xml:space="preserve"> </v>
      </c>
      <c r="S42" s="1939" t="str">
        <f t="shared" si="1"/>
        <v xml:space="preserve"> </v>
      </c>
      <c r="T42" s="1937" t="str">
        <f t="shared" si="6"/>
        <v xml:space="preserve"> </v>
      </c>
      <c r="U42" s="3028" t="str">
        <f t="shared" si="36"/>
        <v xml:space="preserve"> </v>
      </c>
      <c r="V42" s="726"/>
    </row>
    <row r="43" spans="1:22" s="729" customFormat="1" ht="18" customHeight="1">
      <c r="A43" s="3118" t="s">
        <v>2091</v>
      </c>
      <c r="B43" s="3044" t="s">
        <v>2090</v>
      </c>
      <c r="C43" s="3045">
        <v>164000</v>
      </c>
      <c r="D43" s="3046">
        <v>87600</v>
      </c>
      <c r="E43" s="3045">
        <v>164000</v>
      </c>
      <c r="F43" s="3046">
        <v>87600</v>
      </c>
      <c r="G43" s="3058">
        <f>'ANGAJ BUGETAR'!C20</f>
        <v>164000</v>
      </c>
      <c r="H43" s="3117">
        <f t="shared" ref="H43" si="41">+I43+J43</f>
        <v>164000</v>
      </c>
      <c r="I43" s="3058">
        <f>'ANGAJAM LEGAL '!D20</f>
        <v>0</v>
      </c>
      <c r="J43" s="3058">
        <f>'ANGAJAM LEGAL '!E20</f>
        <v>164000</v>
      </c>
      <c r="K43" s="3058">
        <f>PLATI!C20</f>
        <v>82944</v>
      </c>
      <c r="L43" s="3058">
        <f t="shared" ref="L43" si="42">ROUND(H43-K43,1)</f>
        <v>81056</v>
      </c>
      <c r="M43" s="3047">
        <v>81766</v>
      </c>
      <c r="N43" s="1958" t="str">
        <f t="shared" si="39"/>
        <v xml:space="preserve"> EROARE</v>
      </c>
      <c r="O43" s="1937" t="str">
        <f t="shared" si="40"/>
        <v xml:space="preserve"> </v>
      </c>
      <c r="P43" s="1937" t="str">
        <f t="shared" si="4"/>
        <v xml:space="preserve"> </v>
      </c>
      <c r="Q43" s="1937" t="str">
        <f t="shared" si="35"/>
        <v xml:space="preserve"> </v>
      </c>
      <c r="R43" s="1939" t="str">
        <f t="shared" si="5"/>
        <v xml:space="preserve"> </v>
      </c>
      <c r="S43" s="1939" t="str">
        <f t="shared" si="1"/>
        <v xml:space="preserve"> </v>
      </c>
      <c r="T43" s="1937" t="str">
        <f t="shared" si="6"/>
        <v xml:space="preserve"> </v>
      </c>
      <c r="U43" s="3028" t="str">
        <f t="shared" si="36"/>
        <v xml:space="preserve"> EROARE</v>
      </c>
      <c r="V43" s="726"/>
    </row>
    <row r="44" spans="1:22" s="728" customFormat="1" ht="18" customHeight="1">
      <c r="A44" s="3116" t="s">
        <v>1591</v>
      </c>
      <c r="B44" s="3044" t="s">
        <v>1519</v>
      </c>
      <c r="C44" s="3045">
        <v>111000</v>
      </c>
      <c r="D44" s="3046">
        <v>64100</v>
      </c>
      <c r="E44" s="3045">
        <v>111000</v>
      </c>
      <c r="F44" s="3046">
        <v>64100</v>
      </c>
      <c r="G44" s="3058">
        <f>'ANGAJ BUGETAR'!C21</f>
        <v>111000</v>
      </c>
      <c r="H44" s="3117">
        <f t="shared" si="37"/>
        <v>111000</v>
      </c>
      <c r="I44" s="3058">
        <f>'ANGAJAM LEGAL '!D21</f>
        <v>0</v>
      </c>
      <c r="J44" s="3058">
        <f>'ANGAJAM LEGAL '!E21</f>
        <v>111000</v>
      </c>
      <c r="K44" s="3058">
        <f>PLATI!C21</f>
        <v>53447</v>
      </c>
      <c r="L44" s="3058">
        <f t="shared" si="38"/>
        <v>57553</v>
      </c>
      <c r="M44" s="3047">
        <v>44162</v>
      </c>
      <c r="N44" s="1958" t="str">
        <f t="shared" si="39"/>
        <v xml:space="preserve"> EROARE</v>
      </c>
      <c r="O44" s="1937" t="str">
        <f t="shared" si="40"/>
        <v xml:space="preserve"> </v>
      </c>
      <c r="P44" s="1937" t="str">
        <f t="shared" si="4"/>
        <v xml:space="preserve"> </v>
      </c>
      <c r="Q44" s="1937" t="str">
        <f t="shared" si="35"/>
        <v xml:space="preserve"> </v>
      </c>
      <c r="R44" s="1939" t="str">
        <f t="shared" si="5"/>
        <v xml:space="preserve"> </v>
      </c>
      <c r="S44" s="1939" t="str">
        <f t="shared" si="1"/>
        <v xml:space="preserve"> </v>
      </c>
      <c r="T44" s="1937" t="str">
        <f t="shared" si="6"/>
        <v xml:space="preserve"> </v>
      </c>
      <c r="U44" s="3028" t="str">
        <f t="shared" si="36"/>
        <v xml:space="preserve"> EROARE</v>
      </c>
      <c r="V44" s="727"/>
    </row>
    <row r="45" spans="1:22" s="728" customFormat="1" ht="18" customHeight="1">
      <c r="A45" s="3119" t="s">
        <v>1592</v>
      </c>
      <c r="B45" s="3044"/>
      <c r="C45" s="3045">
        <v>11000</v>
      </c>
      <c r="D45" s="3046">
        <v>11000</v>
      </c>
      <c r="E45" s="3045">
        <v>11000</v>
      </c>
      <c r="F45" s="3046">
        <v>11000</v>
      </c>
      <c r="G45" s="3058">
        <f>'ANGAJ BUGETAR'!C22</f>
        <v>11000</v>
      </c>
      <c r="H45" s="3117">
        <f t="shared" si="37"/>
        <v>11000</v>
      </c>
      <c r="I45" s="3058">
        <f>'ANGAJAM LEGAL '!D22</f>
        <v>0</v>
      </c>
      <c r="J45" s="3058">
        <f>'ANGAJAM LEGAL '!E22</f>
        <v>11000</v>
      </c>
      <c r="K45" s="3058">
        <f>PLATI!C22</f>
        <v>8733</v>
      </c>
      <c r="L45" s="3058">
        <f t="shared" si="38"/>
        <v>2267</v>
      </c>
      <c r="M45" s="3047">
        <v>8733</v>
      </c>
      <c r="N45" s="1958" t="str">
        <f t="shared" si="39"/>
        <v xml:space="preserve"> EROARE</v>
      </c>
      <c r="O45" s="1937" t="str">
        <f t="shared" si="40"/>
        <v xml:space="preserve"> </v>
      </c>
      <c r="P45" s="1937" t="str">
        <f t="shared" si="4"/>
        <v xml:space="preserve"> </v>
      </c>
      <c r="Q45" s="1937" t="str">
        <f t="shared" si="35"/>
        <v xml:space="preserve"> </v>
      </c>
      <c r="R45" s="1939" t="str">
        <f t="shared" si="5"/>
        <v xml:space="preserve"> </v>
      </c>
      <c r="S45" s="1939" t="str">
        <f t="shared" si="1"/>
        <v xml:space="preserve"> </v>
      </c>
      <c r="T45" s="1937" t="str">
        <f t="shared" si="6"/>
        <v xml:space="preserve"> </v>
      </c>
      <c r="U45" s="3028" t="str">
        <f t="shared" si="36"/>
        <v xml:space="preserve"> EROARE</v>
      </c>
      <c r="V45" s="727"/>
    </row>
    <row r="46" spans="1:22" s="728" customFormat="1" ht="18" customHeight="1">
      <c r="A46" s="3120" t="s">
        <v>1852</v>
      </c>
      <c r="B46" s="3121" t="s">
        <v>1850</v>
      </c>
      <c r="C46" s="3060">
        <f>+C47</f>
        <v>64000</v>
      </c>
      <c r="D46" s="3060">
        <f>+D47</f>
        <v>64000</v>
      </c>
      <c r="E46" s="3060">
        <f>+E47</f>
        <v>64000</v>
      </c>
      <c r="F46" s="3067">
        <f>+F47</f>
        <v>64000</v>
      </c>
      <c r="G46" s="3067">
        <f>+G47</f>
        <v>64000</v>
      </c>
      <c r="H46" s="3060">
        <f>+I46+J46</f>
        <v>64000</v>
      </c>
      <c r="I46" s="3060">
        <f t="shared" ref="I46:J46" si="43">+I47</f>
        <v>0</v>
      </c>
      <c r="J46" s="3060">
        <f t="shared" si="43"/>
        <v>64000</v>
      </c>
      <c r="K46" s="3060">
        <f>PLATI!C23</f>
        <v>63800</v>
      </c>
      <c r="L46" s="3060">
        <f>ROUND(H46-K46,1)</f>
        <v>200</v>
      </c>
      <c r="M46" s="3068">
        <f>+M47</f>
        <v>63800</v>
      </c>
      <c r="N46" s="1958" t="str">
        <f t="shared" si="39"/>
        <v xml:space="preserve"> EROARE</v>
      </c>
      <c r="O46" s="1937" t="str">
        <f t="shared" si="40"/>
        <v xml:space="preserve"> </v>
      </c>
      <c r="P46" s="1937" t="str">
        <f t="shared" si="4"/>
        <v xml:space="preserve"> </v>
      </c>
      <c r="Q46" s="1937" t="str">
        <f t="shared" si="35"/>
        <v xml:space="preserve"> </v>
      </c>
      <c r="R46" s="1939" t="str">
        <f t="shared" si="5"/>
        <v xml:space="preserve"> </v>
      </c>
      <c r="S46" s="1939" t="str">
        <f t="shared" si="1"/>
        <v xml:space="preserve"> </v>
      </c>
      <c r="T46" s="1937" t="str">
        <f t="shared" si="6"/>
        <v xml:space="preserve"> </v>
      </c>
      <c r="U46" s="3028" t="str">
        <f t="shared" si="36"/>
        <v xml:space="preserve"> EROARE</v>
      </c>
      <c r="V46" s="727"/>
    </row>
    <row r="47" spans="1:22" s="728" customFormat="1" ht="18" customHeight="1">
      <c r="A47" s="3122" t="s">
        <v>1853</v>
      </c>
      <c r="B47" s="3123" t="s">
        <v>1851</v>
      </c>
      <c r="C47" s="3045">
        <v>64000</v>
      </c>
      <c r="D47" s="3046">
        <v>64000</v>
      </c>
      <c r="E47" s="3045">
        <v>64000</v>
      </c>
      <c r="F47" s="3046">
        <v>64000</v>
      </c>
      <c r="G47" s="3058">
        <f>'ANGAJ BUGETAR'!C24</f>
        <v>64000</v>
      </c>
      <c r="H47" s="3117">
        <f>+I47+J47</f>
        <v>64000</v>
      </c>
      <c r="I47" s="3058">
        <f>'ANGAJAM LEGAL '!D24</f>
        <v>0</v>
      </c>
      <c r="J47" s="3058">
        <f>'ANGAJAM LEGAL '!E24</f>
        <v>64000</v>
      </c>
      <c r="K47" s="3058">
        <f>PLATI!C24</f>
        <v>63800</v>
      </c>
      <c r="L47" s="3058">
        <f>ROUND(H47-K47,1)</f>
        <v>200</v>
      </c>
      <c r="M47" s="3047">
        <v>63800</v>
      </c>
      <c r="N47" s="1958" t="str">
        <f t="shared" si="39"/>
        <v xml:space="preserve"> EROARE</v>
      </c>
      <c r="O47" s="1937" t="str">
        <f t="shared" si="40"/>
        <v xml:space="preserve"> </v>
      </c>
      <c r="P47" s="1937" t="str">
        <f t="shared" si="4"/>
        <v xml:space="preserve"> </v>
      </c>
      <c r="Q47" s="1937" t="str">
        <f t="shared" si="35"/>
        <v xml:space="preserve"> </v>
      </c>
      <c r="R47" s="1939" t="str">
        <f t="shared" si="5"/>
        <v xml:space="preserve"> </v>
      </c>
      <c r="S47" s="1939" t="str">
        <f t="shared" si="1"/>
        <v xml:space="preserve"> </v>
      </c>
      <c r="T47" s="1937" t="str">
        <f t="shared" si="6"/>
        <v xml:space="preserve"> </v>
      </c>
      <c r="U47" s="3028" t="str">
        <f t="shared" si="36"/>
        <v xml:space="preserve"> EROARE</v>
      </c>
      <c r="V47" s="727"/>
    </row>
    <row r="48" spans="1:22" s="732" customFormat="1" ht="18" customHeight="1">
      <c r="A48" s="3124" t="s">
        <v>1520</v>
      </c>
      <c r="B48" s="3125" t="s">
        <v>1521</v>
      </c>
      <c r="C48" s="3113">
        <f t="shared" ref="C48:M48" si="44">ROUND(+C49+C50+C51+C52+C53+C54+C56,1)</f>
        <v>109600</v>
      </c>
      <c r="D48" s="3113">
        <f>ROUND(+D49+D50+D51+D52+D53+D54+D56,1)</f>
        <v>56150</v>
      </c>
      <c r="E48" s="3113">
        <f t="shared" si="44"/>
        <v>109600</v>
      </c>
      <c r="F48" s="3113">
        <f t="shared" si="44"/>
        <v>56150</v>
      </c>
      <c r="G48" s="3113">
        <f t="shared" si="44"/>
        <v>109600</v>
      </c>
      <c r="H48" s="3113">
        <f t="shared" si="44"/>
        <v>109600</v>
      </c>
      <c r="I48" s="3113">
        <f t="shared" si="44"/>
        <v>0</v>
      </c>
      <c r="J48" s="3113">
        <f t="shared" si="44"/>
        <v>109600</v>
      </c>
      <c r="K48" s="3113">
        <f t="shared" si="44"/>
        <v>54559</v>
      </c>
      <c r="L48" s="3113">
        <f t="shared" si="44"/>
        <v>55041</v>
      </c>
      <c r="M48" s="3114">
        <f t="shared" si="44"/>
        <v>54776</v>
      </c>
      <c r="N48" s="1958" t="str">
        <f t="shared" si="39"/>
        <v xml:space="preserve"> EROARE</v>
      </c>
      <c r="O48" s="1937" t="str">
        <f t="shared" si="40"/>
        <v xml:space="preserve"> </v>
      </c>
      <c r="P48" s="1937" t="str">
        <f t="shared" si="4"/>
        <v xml:space="preserve"> </v>
      </c>
      <c r="Q48" s="1937" t="str">
        <f t="shared" si="35"/>
        <v xml:space="preserve"> </v>
      </c>
      <c r="R48" s="1939" t="str">
        <f t="shared" si="5"/>
        <v xml:space="preserve"> </v>
      </c>
      <c r="S48" s="1939" t="str">
        <f t="shared" si="1"/>
        <v xml:space="preserve"> </v>
      </c>
      <c r="T48" s="1937" t="str">
        <f t="shared" si="6"/>
        <v xml:space="preserve"> </v>
      </c>
      <c r="U48" s="3028" t="str">
        <f t="shared" si="36"/>
        <v xml:space="preserve"> EROARE</v>
      </c>
      <c r="V48" s="731"/>
    </row>
    <row r="49" spans="1:22" s="729" customFormat="1">
      <c r="A49" s="3116" t="s">
        <v>911</v>
      </c>
      <c r="B49" s="3044" t="s">
        <v>1522</v>
      </c>
      <c r="C49" s="3045">
        <v>1550</v>
      </c>
      <c r="D49" s="3046">
        <v>1550</v>
      </c>
      <c r="E49" s="3045">
        <v>1550</v>
      </c>
      <c r="F49" s="3046">
        <v>1550</v>
      </c>
      <c r="G49" s="3059">
        <f>'ANGAJ BUGETAR'!C26</f>
        <v>1550</v>
      </c>
      <c r="H49" s="3117">
        <f t="shared" ref="H49:H54" si="45">+I49+J49</f>
        <v>1550</v>
      </c>
      <c r="I49" s="3058">
        <f>'ANGAJAM LEGAL '!D26</f>
        <v>0</v>
      </c>
      <c r="J49" s="3058">
        <f>'ANGAJAM LEGAL '!E26</f>
        <v>1550</v>
      </c>
      <c r="K49" s="3058">
        <f>PLATI!C26</f>
        <v>1096</v>
      </c>
      <c r="L49" s="3058">
        <f t="shared" ref="L49:L54" si="46">ROUND(H49-K49,1)</f>
        <v>454</v>
      </c>
      <c r="M49" s="3047">
        <v>1096</v>
      </c>
      <c r="N49" s="1958" t="str">
        <f t="shared" si="39"/>
        <v xml:space="preserve"> EROARE</v>
      </c>
      <c r="O49" s="1937" t="str">
        <f t="shared" si="40"/>
        <v xml:space="preserve"> </v>
      </c>
      <c r="P49" s="2373" t="str">
        <f t="shared" si="4"/>
        <v xml:space="preserve"> </v>
      </c>
      <c r="Q49" s="1937" t="str">
        <f t="shared" si="35"/>
        <v xml:space="preserve"> </v>
      </c>
      <c r="R49" s="1939" t="str">
        <f t="shared" si="5"/>
        <v xml:space="preserve"> </v>
      </c>
      <c r="S49" s="1939" t="str">
        <f t="shared" si="1"/>
        <v xml:space="preserve"> </v>
      </c>
      <c r="T49" s="1937" t="str">
        <f t="shared" si="6"/>
        <v xml:space="preserve"> </v>
      </c>
      <c r="U49" s="3028" t="str">
        <f t="shared" si="36"/>
        <v xml:space="preserve"> EROARE</v>
      </c>
      <c r="V49" s="726"/>
    </row>
    <row r="50" spans="1:22" s="729" customFormat="1">
      <c r="A50" s="3116" t="s">
        <v>1523</v>
      </c>
      <c r="B50" s="3044" t="s">
        <v>1524</v>
      </c>
      <c r="C50" s="3045">
        <v>50</v>
      </c>
      <c r="D50" s="3046">
        <v>50</v>
      </c>
      <c r="E50" s="3045">
        <v>50</v>
      </c>
      <c r="F50" s="3046">
        <v>50</v>
      </c>
      <c r="G50" s="3059">
        <f>'ANGAJ BUGETAR'!C27</f>
        <v>50</v>
      </c>
      <c r="H50" s="3117">
        <f t="shared" si="45"/>
        <v>50</v>
      </c>
      <c r="I50" s="3058">
        <f>'ANGAJAM LEGAL '!D27</f>
        <v>0</v>
      </c>
      <c r="J50" s="3058">
        <f>'ANGAJAM LEGAL '!E27</f>
        <v>50</v>
      </c>
      <c r="K50" s="3058">
        <f>PLATI!C27</f>
        <v>35</v>
      </c>
      <c r="L50" s="3058">
        <f t="shared" si="46"/>
        <v>15</v>
      </c>
      <c r="M50" s="3047">
        <v>35</v>
      </c>
      <c r="N50" s="1958" t="str">
        <f t="shared" si="39"/>
        <v xml:space="preserve"> EROARE</v>
      </c>
      <c r="O50" s="1937" t="str">
        <f t="shared" si="40"/>
        <v xml:space="preserve"> </v>
      </c>
      <c r="P50" s="1937" t="str">
        <f t="shared" si="4"/>
        <v xml:space="preserve"> </v>
      </c>
      <c r="Q50" s="1937" t="str">
        <f t="shared" si="35"/>
        <v xml:space="preserve"> </v>
      </c>
      <c r="R50" s="1939" t="str">
        <f t="shared" si="5"/>
        <v xml:space="preserve"> </v>
      </c>
      <c r="S50" s="1939" t="str">
        <f t="shared" si="1"/>
        <v xml:space="preserve"> </v>
      </c>
      <c r="T50" s="1937" t="str">
        <f t="shared" si="6"/>
        <v xml:space="preserve"> </v>
      </c>
      <c r="U50" s="3028" t="str">
        <f t="shared" si="36"/>
        <v xml:space="preserve"> EROARE</v>
      </c>
      <c r="V50" s="726"/>
    </row>
    <row r="51" spans="1:22" s="729" customFormat="1" ht="25.5">
      <c r="A51" s="3116" t="s">
        <v>1525</v>
      </c>
      <c r="B51" s="3044" t="s">
        <v>1526</v>
      </c>
      <c r="C51" s="3045">
        <v>500</v>
      </c>
      <c r="D51" s="3046">
        <v>500</v>
      </c>
      <c r="E51" s="3045">
        <v>500</v>
      </c>
      <c r="F51" s="3046">
        <v>500</v>
      </c>
      <c r="G51" s="3059">
        <f>'ANGAJ BUGETAR'!C28</f>
        <v>500</v>
      </c>
      <c r="H51" s="3117">
        <f t="shared" si="45"/>
        <v>500</v>
      </c>
      <c r="I51" s="3058">
        <f>'ANGAJAM LEGAL '!D28</f>
        <v>0</v>
      </c>
      <c r="J51" s="3058">
        <f>'ANGAJAM LEGAL '!E28</f>
        <v>500</v>
      </c>
      <c r="K51" s="3058">
        <f>PLATI!C28</f>
        <v>361</v>
      </c>
      <c r="L51" s="3058">
        <f t="shared" si="46"/>
        <v>139</v>
      </c>
      <c r="M51" s="3047">
        <v>361</v>
      </c>
      <c r="N51" s="1958" t="str">
        <f t="shared" si="39"/>
        <v xml:space="preserve"> EROARE</v>
      </c>
      <c r="O51" s="1937" t="str">
        <f t="shared" si="40"/>
        <v xml:space="preserve"> </v>
      </c>
      <c r="P51" s="1937" t="str">
        <f t="shared" si="4"/>
        <v xml:space="preserve"> </v>
      </c>
      <c r="Q51" s="1937" t="str">
        <f t="shared" si="35"/>
        <v xml:space="preserve"> </v>
      </c>
      <c r="R51" s="1939" t="str">
        <f t="shared" si="5"/>
        <v xml:space="preserve"> </v>
      </c>
      <c r="S51" s="1939" t="str">
        <f t="shared" si="1"/>
        <v xml:space="preserve"> </v>
      </c>
      <c r="T51" s="1937" t="str">
        <f t="shared" si="6"/>
        <v xml:space="preserve"> </v>
      </c>
      <c r="U51" s="3028" t="str">
        <f t="shared" si="36"/>
        <v xml:space="preserve"> EROARE</v>
      </c>
      <c r="V51" s="726"/>
    </row>
    <row r="52" spans="1:22" s="729" customFormat="1" ht="38.25">
      <c r="A52" s="3116" t="s">
        <v>1527</v>
      </c>
      <c r="B52" s="3044" t="s">
        <v>1528</v>
      </c>
      <c r="C52" s="3045">
        <v>50</v>
      </c>
      <c r="D52" s="3046">
        <v>50</v>
      </c>
      <c r="E52" s="3045">
        <v>50</v>
      </c>
      <c r="F52" s="3046">
        <v>50</v>
      </c>
      <c r="G52" s="3059">
        <f>'ANGAJ BUGETAR'!C29</f>
        <v>50</v>
      </c>
      <c r="H52" s="3117">
        <f t="shared" si="45"/>
        <v>50</v>
      </c>
      <c r="I52" s="3058">
        <f>'ANGAJAM LEGAL '!D29</f>
        <v>0</v>
      </c>
      <c r="J52" s="3058">
        <f>'ANGAJAM LEGAL '!E29</f>
        <v>50</v>
      </c>
      <c r="K52" s="3058">
        <f>PLATI!C29</f>
        <v>10</v>
      </c>
      <c r="L52" s="3058">
        <f t="shared" si="46"/>
        <v>40</v>
      </c>
      <c r="M52" s="3047">
        <v>10</v>
      </c>
      <c r="N52" s="1958" t="str">
        <f t="shared" si="39"/>
        <v xml:space="preserve"> EROARE</v>
      </c>
      <c r="O52" s="1937" t="str">
        <f t="shared" si="40"/>
        <v xml:space="preserve"> </v>
      </c>
      <c r="P52" s="1937" t="str">
        <f t="shared" si="4"/>
        <v xml:space="preserve"> </v>
      </c>
      <c r="Q52" s="1937" t="str">
        <f t="shared" si="35"/>
        <v xml:space="preserve"> </v>
      </c>
      <c r="R52" s="1939" t="str">
        <f t="shared" si="5"/>
        <v xml:space="preserve"> </v>
      </c>
      <c r="S52" s="1939" t="str">
        <f t="shared" si="1"/>
        <v xml:space="preserve"> </v>
      </c>
      <c r="T52" s="1937" t="str">
        <f t="shared" si="6"/>
        <v xml:space="preserve"> </v>
      </c>
      <c r="U52" s="3028" t="str">
        <f t="shared" si="36"/>
        <v xml:space="preserve"> EROARE</v>
      </c>
      <c r="V52" s="726"/>
    </row>
    <row r="53" spans="1:22" s="729" customFormat="1" ht="25.5">
      <c r="A53" s="3116" t="s">
        <v>919</v>
      </c>
      <c r="B53" s="3044" t="s">
        <v>1529</v>
      </c>
      <c r="C53" s="3045">
        <v>100</v>
      </c>
      <c r="D53" s="3046">
        <v>100</v>
      </c>
      <c r="E53" s="3045">
        <v>100</v>
      </c>
      <c r="F53" s="3046">
        <v>100</v>
      </c>
      <c r="G53" s="3059">
        <f>'ANGAJ BUGETAR'!C30</f>
        <v>100</v>
      </c>
      <c r="H53" s="3117">
        <f t="shared" si="45"/>
        <v>100</v>
      </c>
      <c r="I53" s="3058">
        <f>'ANGAJAM LEGAL '!D30</f>
        <v>0</v>
      </c>
      <c r="J53" s="3058">
        <f>'ANGAJAM LEGAL '!E30</f>
        <v>100</v>
      </c>
      <c r="K53" s="3058">
        <f>PLATI!C30</f>
        <v>59</v>
      </c>
      <c r="L53" s="3058">
        <f t="shared" si="46"/>
        <v>41</v>
      </c>
      <c r="M53" s="3047">
        <v>59</v>
      </c>
      <c r="N53" s="1958" t="str">
        <f t="shared" si="39"/>
        <v xml:space="preserve"> EROARE</v>
      </c>
      <c r="O53" s="1937" t="str">
        <f t="shared" si="40"/>
        <v xml:space="preserve"> </v>
      </c>
      <c r="P53" s="1937" t="str">
        <f t="shared" si="4"/>
        <v xml:space="preserve"> </v>
      </c>
      <c r="Q53" s="1937" t="str">
        <f t="shared" si="35"/>
        <v xml:space="preserve"> </v>
      </c>
      <c r="R53" s="1939" t="str">
        <f t="shared" si="5"/>
        <v xml:space="preserve"> </v>
      </c>
      <c r="S53" s="1939" t="str">
        <f t="shared" si="1"/>
        <v xml:space="preserve"> </v>
      </c>
      <c r="T53" s="1937" t="str">
        <f t="shared" si="6"/>
        <v xml:space="preserve"> </v>
      </c>
      <c r="U53" s="3028" t="str">
        <f t="shared" si="36"/>
        <v xml:space="preserve"> EROARE</v>
      </c>
      <c r="V53" s="726"/>
    </row>
    <row r="54" spans="1:22" s="729" customFormat="1" ht="25.5">
      <c r="A54" s="3116" t="s">
        <v>2327</v>
      </c>
      <c r="B54" s="3123" t="s">
        <v>1854</v>
      </c>
      <c r="C54" s="3045">
        <v>107350</v>
      </c>
      <c r="D54" s="3046">
        <v>53900</v>
      </c>
      <c r="E54" s="3045">
        <v>107350</v>
      </c>
      <c r="F54" s="3046">
        <v>53900</v>
      </c>
      <c r="G54" s="3059">
        <f>'ANGAJ BUGETAR'!C31</f>
        <v>107350</v>
      </c>
      <c r="H54" s="3117">
        <f t="shared" si="45"/>
        <v>107350</v>
      </c>
      <c r="I54" s="3058">
        <f>'ANGAJAM LEGAL '!D31</f>
        <v>0</v>
      </c>
      <c r="J54" s="3058">
        <f>'ANGAJAM LEGAL '!E31</f>
        <v>107350</v>
      </c>
      <c r="K54" s="3058">
        <f>PLATI!C31</f>
        <v>52998</v>
      </c>
      <c r="L54" s="3058">
        <f t="shared" si="46"/>
        <v>54352</v>
      </c>
      <c r="M54" s="3047">
        <v>53215</v>
      </c>
      <c r="N54" s="1958" t="str">
        <f t="shared" si="39"/>
        <v xml:space="preserve"> EROARE</v>
      </c>
      <c r="O54" s="1937" t="str">
        <f t="shared" si="40"/>
        <v xml:space="preserve"> </v>
      </c>
      <c r="P54" s="1937" t="str">
        <f t="shared" si="4"/>
        <v xml:space="preserve"> </v>
      </c>
      <c r="Q54" s="1937" t="str">
        <f t="shared" si="35"/>
        <v xml:space="preserve"> </v>
      </c>
      <c r="R54" s="1939" t="str">
        <f t="shared" si="5"/>
        <v xml:space="preserve"> </v>
      </c>
      <c r="S54" s="1939" t="str">
        <f t="shared" si="1"/>
        <v xml:space="preserve"> </v>
      </c>
      <c r="T54" s="1937" t="str">
        <f t="shared" si="6"/>
        <v xml:space="preserve"> </v>
      </c>
      <c r="U54" s="3028" t="str">
        <f t="shared" si="36"/>
        <v xml:space="preserve"> EROARE</v>
      </c>
      <c r="V54" s="726"/>
    </row>
    <row r="55" spans="1:22" s="729" customFormat="1" ht="18" customHeight="1">
      <c r="A55" s="3119" t="s">
        <v>1592</v>
      </c>
      <c r="B55" s="3123"/>
      <c r="C55" s="3045"/>
      <c r="D55" s="3045"/>
      <c r="E55" s="3045"/>
      <c r="F55" s="3046"/>
      <c r="G55" s="3059">
        <f>'ANGAJ BUGETAR'!C32</f>
        <v>0</v>
      </c>
      <c r="H55" s="3117">
        <f t="shared" ref="H55:H56" si="47">+I55+J55</f>
        <v>0</v>
      </c>
      <c r="I55" s="3058">
        <f>'ANGAJAM LEGAL '!D32</f>
        <v>0</v>
      </c>
      <c r="J55" s="3058">
        <f>'ANGAJAM LEGAL '!E32</f>
        <v>0</v>
      </c>
      <c r="K55" s="3058">
        <f>PLATI!C32</f>
        <v>0</v>
      </c>
      <c r="L55" s="3058">
        <f t="shared" ref="L55:L56" si="48">ROUND(H55-K55,1)</f>
        <v>0</v>
      </c>
      <c r="M55" s="3047"/>
      <c r="N55" s="1958" t="str">
        <f t="shared" si="39"/>
        <v xml:space="preserve"> </v>
      </c>
      <c r="O55" s="1937" t="str">
        <f t="shared" si="40"/>
        <v xml:space="preserve"> </v>
      </c>
      <c r="P55" s="1937" t="str">
        <f t="shared" si="4"/>
        <v xml:space="preserve"> </v>
      </c>
      <c r="Q55" s="1937" t="str">
        <f t="shared" si="35"/>
        <v xml:space="preserve"> </v>
      </c>
      <c r="R55" s="1939" t="str">
        <f t="shared" si="5"/>
        <v xml:space="preserve"> </v>
      </c>
      <c r="S55" s="1939" t="str">
        <f t="shared" si="1"/>
        <v xml:space="preserve"> </v>
      </c>
      <c r="T55" s="1937"/>
      <c r="U55" s="3028" t="str">
        <f t="shared" si="36"/>
        <v xml:space="preserve"> </v>
      </c>
      <c r="V55" s="726"/>
    </row>
    <row r="56" spans="1:22" s="729" customFormat="1" ht="25.5">
      <c r="A56" s="3116" t="s">
        <v>1857</v>
      </c>
      <c r="B56" s="3123" t="s">
        <v>1855</v>
      </c>
      <c r="C56" s="3058"/>
      <c r="D56" s="3058"/>
      <c r="E56" s="3058"/>
      <c r="F56" s="3059"/>
      <c r="G56" s="3059">
        <f>'ANGAJ BUGETAR'!C33</f>
        <v>0</v>
      </c>
      <c r="H56" s="3117">
        <f t="shared" si="47"/>
        <v>0</v>
      </c>
      <c r="I56" s="3058">
        <f>'ANGAJAM LEGAL '!D33</f>
        <v>0</v>
      </c>
      <c r="J56" s="3058">
        <f>'ANGAJAM LEGAL '!E33</f>
        <v>0</v>
      </c>
      <c r="K56" s="3058">
        <f>PLATI!C33</f>
        <v>0</v>
      </c>
      <c r="L56" s="3058">
        <f t="shared" si="48"/>
        <v>0</v>
      </c>
      <c r="M56" s="3047"/>
      <c r="N56" s="1958" t="str">
        <f t="shared" si="39"/>
        <v xml:space="preserve"> </v>
      </c>
      <c r="O56" s="1937" t="str">
        <f t="shared" si="40"/>
        <v xml:space="preserve"> </v>
      </c>
      <c r="P56" s="1937" t="str">
        <f t="shared" si="4"/>
        <v xml:space="preserve"> </v>
      </c>
      <c r="Q56" s="1937" t="str">
        <f t="shared" si="35"/>
        <v xml:space="preserve"> </v>
      </c>
      <c r="R56" s="1939" t="str">
        <f t="shared" si="5"/>
        <v xml:space="preserve"> </v>
      </c>
      <c r="S56" s="1939" t="str">
        <f t="shared" si="1"/>
        <v xml:space="preserve"> </v>
      </c>
      <c r="T56" s="1937" t="str">
        <f t="shared" si="6"/>
        <v xml:space="preserve"> </v>
      </c>
      <c r="U56" s="3028" t="str">
        <f t="shared" si="36"/>
        <v xml:space="preserve"> </v>
      </c>
      <c r="V56" s="726"/>
    </row>
    <row r="57" spans="1:22" s="732" customFormat="1" ht="18" customHeight="1">
      <c r="A57" s="3124" t="s">
        <v>1032</v>
      </c>
      <c r="B57" s="3125" t="s">
        <v>1033</v>
      </c>
      <c r="C57" s="3113">
        <f t="shared" ref="C57:M57" si="49">ROUND(+C58+C73+C72+C75+C78+C79+C80+C81+C82+C83,1)</f>
        <v>305203060</v>
      </c>
      <c r="D57" s="3113">
        <f t="shared" si="49"/>
        <v>200124580</v>
      </c>
      <c r="E57" s="3113">
        <f t="shared" si="49"/>
        <v>275902500</v>
      </c>
      <c r="F57" s="3113">
        <f t="shared" si="49"/>
        <v>167874510</v>
      </c>
      <c r="G57" s="3113">
        <f t="shared" si="49"/>
        <v>275792078</v>
      </c>
      <c r="H57" s="3113">
        <f t="shared" si="49"/>
        <v>363384711</v>
      </c>
      <c r="I57" s="3113">
        <f t="shared" si="49"/>
        <v>63537794</v>
      </c>
      <c r="J57" s="3113">
        <f t="shared" si="49"/>
        <v>299846917</v>
      </c>
      <c r="K57" s="3113">
        <f t="shared" si="49"/>
        <v>167563941</v>
      </c>
      <c r="L57" s="3113">
        <f t="shared" si="49"/>
        <v>195820770</v>
      </c>
      <c r="M57" s="3114">
        <f t="shared" si="49"/>
        <v>134438007</v>
      </c>
      <c r="N57" s="1949"/>
      <c r="O57" s="1938" t="str">
        <f>IF('CREDITE BUG'!D17&lt;&gt;'CONT EXECUTIE  '!K57," EROARE"," ")</f>
        <v xml:space="preserve"> </v>
      </c>
      <c r="P57" s="1938" t="str">
        <f>IF('ANEXA 2'!E18+'ANEXA 2'!E20+'ANEXA 2'!E26&lt;&gt;'CONT EXECUTIE  '!M57+'CONT EXECUTIE  '!M86+M113+'ANEXA 2 SOLDURI'!B82+'ANEXA 2 SOLDURI'!B83+'ANEXA 2 SOLDURI'!B84+'ANEXA 2 SOLDURI'!B72+'ANEXA 2 SOLDURI'!B60+'ANEXA 2 SOLDURI'!B88," EROARE"," ")</f>
        <v xml:space="preserve"> </v>
      </c>
      <c r="Q57" s="723"/>
      <c r="R57" s="1939" t="str">
        <f t="shared" si="5"/>
        <v xml:space="preserve"> </v>
      </c>
      <c r="S57" s="1939" t="str">
        <f t="shared" si="1"/>
        <v xml:space="preserve"> </v>
      </c>
      <c r="T57" s="1937" t="str">
        <f t="shared" si="6"/>
        <v xml:space="preserve"> </v>
      </c>
      <c r="U57" s="1937" t="str">
        <f t="shared" ref="U57:U60" si="50">IF(L57&lt;0," EROARE"," ")</f>
        <v xml:space="preserve"> </v>
      </c>
      <c r="V57" s="731"/>
    </row>
    <row r="58" spans="1:22" s="732" customFormat="1" ht="18" customHeight="1">
      <c r="A58" s="3124" t="s">
        <v>1034</v>
      </c>
      <c r="B58" s="3125" t="s">
        <v>1035</v>
      </c>
      <c r="C58" s="3113">
        <f t="shared" ref="C58:M58" si="51">ROUND(+C59+C60+C61+C62+C63+C64+C65+C66+C69,1)</f>
        <v>305109220</v>
      </c>
      <c r="D58" s="3113">
        <f>ROUND(+D59+D60+D61+D62+D63+D64+D65+D66+D69,1)</f>
        <v>200049410</v>
      </c>
      <c r="E58" s="3113">
        <f t="shared" si="51"/>
        <v>275808660</v>
      </c>
      <c r="F58" s="3113">
        <f t="shared" si="51"/>
        <v>167799340</v>
      </c>
      <c r="G58" s="3113">
        <f t="shared" si="51"/>
        <v>275741317</v>
      </c>
      <c r="H58" s="3113">
        <f t="shared" si="51"/>
        <v>363333950</v>
      </c>
      <c r="I58" s="3113">
        <f t="shared" si="51"/>
        <v>63537794</v>
      </c>
      <c r="J58" s="3113">
        <f t="shared" si="51"/>
        <v>299796156</v>
      </c>
      <c r="K58" s="3113">
        <f t="shared" si="51"/>
        <v>167525680</v>
      </c>
      <c r="L58" s="3113">
        <f t="shared" si="51"/>
        <v>195808270</v>
      </c>
      <c r="M58" s="3114">
        <f t="shared" si="51"/>
        <v>134408646</v>
      </c>
      <c r="N58" s="1949"/>
      <c r="O58" s="1937" t="str">
        <f t="shared" ref="O58" si="52">IF(F58&lt;K58," EROARE"," ")</f>
        <v xml:space="preserve"> </v>
      </c>
      <c r="P58" s="1937" t="str">
        <f t="shared" si="4"/>
        <v xml:space="preserve"> </v>
      </c>
      <c r="Q58" s="723"/>
      <c r="R58" s="1939" t="str">
        <f t="shared" si="5"/>
        <v xml:space="preserve"> </v>
      </c>
      <c r="S58" s="1939" t="str">
        <f t="shared" si="1"/>
        <v xml:space="preserve"> </v>
      </c>
      <c r="T58" s="1937" t="str">
        <f t="shared" si="6"/>
        <v xml:space="preserve"> </v>
      </c>
      <c r="U58" s="1937" t="str">
        <f t="shared" si="50"/>
        <v xml:space="preserve"> </v>
      </c>
      <c r="V58" s="731"/>
    </row>
    <row r="59" spans="1:22" s="728" customFormat="1" ht="18" customHeight="1">
      <c r="A59" s="3116" t="s">
        <v>923</v>
      </c>
      <c r="B59" s="3044" t="s">
        <v>1036</v>
      </c>
      <c r="C59" s="3045">
        <v>33000</v>
      </c>
      <c r="D59" s="3046">
        <v>13000</v>
      </c>
      <c r="E59" s="3045">
        <v>33000</v>
      </c>
      <c r="F59" s="3046">
        <v>13000</v>
      </c>
      <c r="G59" s="3059">
        <f>'ANGAJ BUGETAR'!C36</f>
        <v>12869</v>
      </c>
      <c r="H59" s="3117">
        <f t="shared" ref="H59:H65" si="53">I59+J59</f>
        <v>12869</v>
      </c>
      <c r="I59" s="3058">
        <f>'ANGAJAM LEGAL '!D36</f>
        <v>0</v>
      </c>
      <c r="J59" s="3058">
        <f>'ANGAJAM LEGAL '!E36</f>
        <v>12869</v>
      </c>
      <c r="K59" s="3059">
        <f>PLATI!C36</f>
        <v>12869</v>
      </c>
      <c r="L59" s="3058">
        <f t="shared" ref="L59:L65" si="54">ROUND(H59-K59,1)</f>
        <v>0</v>
      </c>
      <c r="M59" s="3047">
        <v>16917</v>
      </c>
      <c r="N59" s="1675"/>
      <c r="O59" s="1937" t="str">
        <f t="shared" ref="O59:O68" si="55">IF(F59&lt;K59," EROARE"," ")</f>
        <v xml:space="preserve"> </v>
      </c>
      <c r="P59" s="1937" t="str">
        <f t="shared" si="4"/>
        <v xml:space="preserve"> </v>
      </c>
      <c r="Q59" s="1937" t="str">
        <f t="shared" ref="Q59:Q65" si="56">IF(E59&lt;H59," EROARE"," ")</f>
        <v xml:space="preserve"> </v>
      </c>
      <c r="R59" s="1939" t="str">
        <f t="shared" si="5"/>
        <v xml:space="preserve"> </v>
      </c>
      <c r="S59" s="1939" t="str">
        <f t="shared" si="1"/>
        <v xml:space="preserve"> </v>
      </c>
      <c r="T59" s="1937" t="str">
        <f t="shared" si="6"/>
        <v xml:space="preserve"> </v>
      </c>
      <c r="U59" s="1937" t="str">
        <f t="shared" si="50"/>
        <v xml:space="preserve"> </v>
      </c>
      <c r="V59" s="727"/>
    </row>
    <row r="60" spans="1:22" s="728" customFormat="1" ht="18" customHeight="1">
      <c r="A60" s="3116" t="s">
        <v>925</v>
      </c>
      <c r="B60" s="3044" t="s">
        <v>1037</v>
      </c>
      <c r="C60" s="3045">
        <v>24830</v>
      </c>
      <c r="D60" s="3046">
        <v>6500</v>
      </c>
      <c r="E60" s="3045">
        <v>24830</v>
      </c>
      <c r="F60" s="3046">
        <v>6500</v>
      </c>
      <c r="G60" s="3059">
        <f>'ANGAJ BUGETAR'!C37</f>
        <v>3999</v>
      </c>
      <c r="H60" s="3117">
        <f t="shared" si="53"/>
        <v>3999</v>
      </c>
      <c r="I60" s="3058">
        <f>'ANGAJAM LEGAL '!D37</f>
        <v>0</v>
      </c>
      <c r="J60" s="3058">
        <f>'ANGAJAM LEGAL '!E37</f>
        <v>3999</v>
      </c>
      <c r="K60" s="3059">
        <f>PLATI!C37</f>
        <v>3999</v>
      </c>
      <c r="L60" s="3058">
        <f t="shared" si="54"/>
        <v>0</v>
      </c>
      <c r="M60" s="3047">
        <v>6136</v>
      </c>
      <c r="N60" s="1675"/>
      <c r="O60" s="1937" t="str">
        <f t="shared" si="55"/>
        <v xml:space="preserve"> </v>
      </c>
      <c r="P60" s="1937" t="str">
        <f t="shared" si="4"/>
        <v xml:space="preserve"> </v>
      </c>
      <c r="Q60" s="1937" t="str">
        <f t="shared" si="56"/>
        <v xml:space="preserve"> </v>
      </c>
      <c r="R60" s="1939" t="str">
        <f t="shared" si="5"/>
        <v xml:space="preserve"> </v>
      </c>
      <c r="S60" s="1939" t="str">
        <f t="shared" si="1"/>
        <v xml:space="preserve"> </v>
      </c>
      <c r="T60" s="1937" t="str">
        <f t="shared" si="6"/>
        <v xml:space="preserve"> </v>
      </c>
      <c r="U60" s="1937" t="str">
        <f t="shared" si="50"/>
        <v xml:space="preserve"> </v>
      </c>
      <c r="V60" s="727"/>
    </row>
    <row r="61" spans="1:22" s="728" customFormat="1" ht="18" customHeight="1">
      <c r="A61" s="3116" t="s">
        <v>1038</v>
      </c>
      <c r="B61" s="3044" t="s">
        <v>1039</v>
      </c>
      <c r="C61" s="3045">
        <v>179000</v>
      </c>
      <c r="D61" s="3046">
        <v>90000</v>
      </c>
      <c r="E61" s="3045">
        <v>179000</v>
      </c>
      <c r="F61" s="3046">
        <v>90000</v>
      </c>
      <c r="G61" s="3059">
        <f>'ANGAJ BUGETAR'!C38</f>
        <v>179000</v>
      </c>
      <c r="H61" s="3058">
        <f t="shared" si="53"/>
        <v>179000</v>
      </c>
      <c r="I61" s="3058">
        <f>'ANGAJAM LEGAL '!D38</f>
        <v>0</v>
      </c>
      <c r="J61" s="3058">
        <f>'ANGAJAM LEGAL '!E38</f>
        <v>179000</v>
      </c>
      <c r="K61" s="3059">
        <f>PLATI!C38</f>
        <v>68969</v>
      </c>
      <c r="L61" s="3058">
        <f t="shared" si="54"/>
        <v>110031</v>
      </c>
      <c r="M61" s="3047">
        <v>69014</v>
      </c>
      <c r="N61" s="1675"/>
      <c r="O61" s="1937" t="str">
        <f t="shared" si="55"/>
        <v xml:space="preserve"> </v>
      </c>
      <c r="P61" s="1937" t="str">
        <f t="shared" si="4"/>
        <v xml:space="preserve"> </v>
      </c>
      <c r="Q61" s="1937" t="str">
        <f t="shared" si="56"/>
        <v xml:space="preserve"> </v>
      </c>
      <c r="R61" s="1939" t="str">
        <f t="shared" si="5"/>
        <v xml:space="preserve"> </v>
      </c>
      <c r="S61" s="1939" t="str">
        <f t="shared" si="1"/>
        <v xml:space="preserve"> </v>
      </c>
      <c r="T61" s="1937" t="str">
        <f t="shared" si="6"/>
        <v xml:space="preserve"> </v>
      </c>
      <c r="U61" s="3028" t="str">
        <f t="shared" ref="U61:U62" si="57">IF(L61&lt;&gt;0," EROARE"," ")</f>
        <v xml:space="preserve"> EROARE</v>
      </c>
      <c r="V61" s="727"/>
    </row>
    <row r="62" spans="1:22" s="728" customFormat="1" ht="18" customHeight="1">
      <c r="A62" s="3116" t="s">
        <v>929</v>
      </c>
      <c r="B62" s="3044" t="s">
        <v>1040</v>
      </c>
      <c r="C62" s="3045">
        <v>8000</v>
      </c>
      <c r="D62" s="3046">
        <v>5500</v>
      </c>
      <c r="E62" s="3045">
        <v>8000</v>
      </c>
      <c r="F62" s="3046">
        <v>5500</v>
      </c>
      <c r="G62" s="3059">
        <f>'ANGAJ BUGETAR'!C39</f>
        <v>8000</v>
      </c>
      <c r="H62" s="3058">
        <f t="shared" si="53"/>
        <v>8000</v>
      </c>
      <c r="I62" s="3058">
        <f>'ANGAJAM LEGAL '!D39</f>
        <v>0</v>
      </c>
      <c r="J62" s="3058">
        <f>'ANGAJAM LEGAL '!E39</f>
        <v>8000</v>
      </c>
      <c r="K62" s="3059">
        <f>PLATI!C39</f>
        <v>3997</v>
      </c>
      <c r="L62" s="3058">
        <f t="shared" si="54"/>
        <v>4003</v>
      </c>
      <c r="M62" s="3047">
        <v>3997</v>
      </c>
      <c r="N62" s="1675"/>
      <c r="O62" s="1937" t="str">
        <f t="shared" si="55"/>
        <v xml:space="preserve"> </v>
      </c>
      <c r="P62" s="1937" t="str">
        <f t="shared" si="4"/>
        <v xml:space="preserve"> </v>
      </c>
      <c r="Q62" s="1937" t="str">
        <f t="shared" si="56"/>
        <v xml:space="preserve"> </v>
      </c>
      <c r="R62" s="1939" t="str">
        <f t="shared" si="5"/>
        <v xml:space="preserve"> </v>
      </c>
      <c r="S62" s="1939" t="str">
        <f t="shared" si="1"/>
        <v xml:space="preserve"> </v>
      </c>
      <c r="T62" s="1937" t="str">
        <f t="shared" si="6"/>
        <v xml:space="preserve"> </v>
      </c>
      <c r="U62" s="3028" t="str">
        <f t="shared" si="57"/>
        <v xml:space="preserve"> EROARE</v>
      </c>
      <c r="V62" s="727"/>
    </row>
    <row r="63" spans="1:22" s="728" customFormat="1" ht="18" customHeight="1">
      <c r="A63" s="3116" t="s">
        <v>931</v>
      </c>
      <c r="B63" s="3044" t="s">
        <v>1041</v>
      </c>
      <c r="C63" s="3045">
        <v>9000</v>
      </c>
      <c r="D63" s="3046">
        <v>0</v>
      </c>
      <c r="E63" s="3045">
        <v>9000</v>
      </c>
      <c r="F63" s="3046">
        <v>0</v>
      </c>
      <c r="G63" s="3059">
        <f>'ANGAJ BUGETAR'!C40</f>
        <v>0</v>
      </c>
      <c r="H63" s="3058">
        <f t="shared" si="53"/>
        <v>0</v>
      </c>
      <c r="I63" s="3058">
        <f>'ANGAJAM LEGAL '!D40</f>
        <v>0</v>
      </c>
      <c r="J63" s="3058">
        <f>'ANGAJAM LEGAL '!E40</f>
        <v>0</v>
      </c>
      <c r="K63" s="3059">
        <f>PLATI!C40</f>
        <v>0</v>
      </c>
      <c r="L63" s="3058">
        <f t="shared" si="54"/>
        <v>0</v>
      </c>
      <c r="M63" s="3047">
        <v>5950</v>
      </c>
      <c r="N63" s="1675"/>
      <c r="O63" s="1937" t="str">
        <f t="shared" si="55"/>
        <v xml:space="preserve"> </v>
      </c>
      <c r="P63" s="1937" t="str">
        <f t="shared" si="4"/>
        <v xml:space="preserve"> </v>
      </c>
      <c r="Q63" s="1937" t="str">
        <f t="shared" si="56"/>
        <v xml:space="preserve"> </v>
      </c>
      <c r="R63" s="1939" t="str">
        <f t="shared" si="5"/>
        <v xml:space="preserve"> </v>
      </c>
      <c r="S63" s="1939" t="str">
        <f t="shared" si="1"/>
        <v xml:space="preserve"> </v>
      </c>
      <c r="T63" s="1937" t="str">
        <f t="shared" si="6"/>
        <v xml:space="preserve"> </v>
      </c>
      <c r="U63" s="1937" t="str">
        <f t="shared" ref="U63:U132" si="58">IF(L63&lt;0," EROARE"," ")</f>
        <v xml:space="preserve"> </v>
      </c>
      <c r="V63" s="727"/>
    </row>
    <row r="64" spans="1:22" s="728" customFormat="1">
      <c r="A64" s="3116" t="s">
        <v>933</v>
      </c>
      <c r="B64" s="3044" t="s">
        <v>1042</v>
      </c>
      <c r="C64" s="3045">
        <v>5000</v>
      </c>
      <c r="D64" s="3046"/>
      <c r="E64" s="3045">
        <v>5000</v>
      </c>
      <c r="F64" s="3046"/>
      <c r="G64" s="3059">
        <f>'ANGAJ BUGETAR'!C41</f>
        <v>0</v>
      </c>
      <c r="H64" s="3058">
        <f t="shared" si="53"/>
        <v>0</v>
      </c>
      <c r="I64" s="3058">
        <f>'ANGAJAM LEGAL '!D41</f>
        <v>0</v>
      </c>
      <c r="J64" s="3058">
        <f>'ANGAJAM LEGAL '!E41</f>
        <v>0</v>
      </c>
      <c r="K64" s="3059">
        <f>PLATI!C41</f>
        <v>0</v>
      </c>
      <c r="L64" s="3058">
        <f t="shared" si="54"/>
        <v>0</v>
      </c>
      <c r="M64" s="3047"/>
      <c r="N64" s="1675"/>
      <c r="O64" s="1937" t="str">
        <f t="shared" si="55"/>
        <v xml:space="preserve"> </v>
      </c>
      <c r="P64" s="1937" t="str">
        <f t="shared" si="4"/>
        <v xml:space="preserve"> </v>
      </c>
      <c r="Q64" s="1937" t="str">
        <f t="shared" si="56"/>
        <v xml:space="preserve"> </v>
      </c>
      <c r="R64" s="1939" t="str">
        <f t="shared" si="5"/>
        <v xml:space="preserve"> </v>
      </c>
      <c r="S64" s="1939" t="str">
        <f t="shared" si="1"/>
        <v xml:space="preserve"> </v>
      </c>
      <c r="T64" s="1937" t="str">
        <f t="shared" si="6"/>
        <v xml:space="preserve"> </v>
      </c>
      <c r="U64" s="1937" t="str">
        <f t="shared" si="58"/>
        <v xml:space="preserve"> </v>
      </c>
      <c r="V64" s="727"/>
    </row>
    <row r="65" spans="1:22" s="728" customFormat="1" ht="25.5">
      <c r="A65" s="3116" t="s">
        <v>1043</v>
      </c>
      <c r="B65" s="3044" t="s">
        <v>1044</v>
      </c>
      <c r="C65" s="3045">
        <v>48000</v>
      </c>
      <c r="D65" s="3046">
        <v>26500</v>
      </c>
      <c r="E65" s="3045">
        <v>48000</v>
      </c>
      <c r="F65" s="3046">
        <v>26500</v>
      </c>
      <c r="G65" s="3059">
        <f>'ANGAJ BUGETAR'!C42</f>
        <v>48000</v>
      </c>
      <c r="H65" s="3058">
        <f t="shared" si="53"/>
        <v>48000</v>
      </c>
      <c r="I65" s="3058">
        <f>'ANGAJAM LEGAL '!D42</f>
        <v>0</v>
      </c>
      <c r="J65" s="3058">
        <f>'ANGAJAM LEGAL '!E42</f>
        <v>48000</v>
      </c>
      <c r="K65" s="3059">
        <f>PLATI!C42</f>
        <v>25784</v>
      </c>
      <c r="L65" s="3058">
        <f t="shared" si="54"/>
        <v>22216</v>
      </c>
      <c r="M65" s="3047">
        <v>22806</v>
      </c>
      <c r="N65" s="1675"/>
      <c r="O65" s="1937" t="str">
        <f t="shared" si="55"/>
        <v xml:space="preserve"> </v>
      </c>
      <c r="P65" s="1937" t="str">
        <f t="shared" si="4"/>
        <v xml:space="preserve"> </v>
      </c>
      <c r="Q65" s="1937" t="str">
        <f t="shared" si="56"/>
        <v xml:space="preserve"> </v>
      </c>
      <c r="R65" s="1939" t="str">
        <f t="shared" si="5"/>
        <v xml:space="preserve"> </v>
      </c>
      <c r="S65" s="1939" t="str">
        <f t="shared" si="1"/>
        <v xml:space="preserve"> </v>
      </c>
      <c r="T65" s="1937" t="str">
        <f t="shared" si="6"/>
        <v xml:space="preserve"> </v>
      </c>
      <c r="U65" s="2809"/>
      <c r="V65" s="727"/>
    </row>
    <row r="66" spans="1:22" s="732" customFormat="1" ht="25.5">
      <c r="A66" s="3124" t="s">
        <v>937</v>
      </c>
      <c r="B66" s="3125" t="s">
        <v>1045</v>
      </c>
      <c r="C66" s="3113">
        <f t="shared" ref="C66:M66" si="59">ROUND(+C67+C68,1)</f>
        <v>304597390</v>
      </c>
      <c r="D66" s="3113">
        <f>ROUND(+D67+D68,1)</f>
        <v>199794910</v>
      </c>
      <c r="E66" s="3113">
        <f t="shared" si="59"/>
        <v>275296830</v>
      </c>
      <c r="F66" s="3113">
        <f t="shared" si="59"/>
        <v>167544840</v>
      </c>
      <c r="G66" s="3113">
        <f t="shared" si="59"/>
        <v>275284449</v>
      </c>
      <c r="H66" s="3113">
        <f t="shared" si="59"/>
        <v>362877082</v>
      </c>
      <c r="I66" s="3113">
        <f t="shared" si="59"/>
        <v>63537794</v>
      </c>
      <c r="J66" s="3113">
        <f t="shared" si="59"/>
        <v>299339288</v>
      </c>
      <c r="K66" s="3113">
        <f t="shared" si="59"/>
        <v>167298226</v>
      </c>
      <c r="L66" s="3113">
        <f t="shared" si="59"/>
        <v>195578856</v>
      </c>
      <c r="M66" s="3114">
        <f t="shared" si="59"/>
        <v>134170899</v>
      </c>
      <c r="N66" s="1949"/>
      <c r="O66" s="1937" t="str">
        <f t="shared" si="55"/>
        <v xml:space="preserve"> </v>
      </c>
      <c r="P66" s="1937" t="str">
        <f t="shared" si="4"/>
        <v xml:space="preserve"> </v>
      </c>
      <c r="Q66" s="723"/>
      <c r="R66" s="1939" t="str">
        <f t="shared" si="5"/>
        <v xml:space="preserve"> </v>
      </c>
      <c r="S66" s="1939" t="str">
        <f t="shared" si="1"/>
        <v xml:space="preserve"> </v>
      </c>
      <c r="T66" s="1937" t="str">
        <f t="shared" si="6"/>
        <v xml:space="preserve"> </v>
      </c>
      <c r="U66" s="1937" t="str">
        <f t="shared" si="58"/>
        <v xml:space="preserve"> </v>
      </c>
      <c r="V66" s="731"/>
    </row>
    <row r="67" spans="1:22" s="728" customFormat="1" ht="25.5">
      <c r="A67" s="3116" t="s">
        <v>1046</v>
      </c>
      <c r="B67" s="3044" t="s">
        <v>1047</v>
      </c>
      <c r="C67" s="3058">
        <f>ROUND(+C137+C226+C264+C267+C290+C291,1)</f>
        <v>304582390</v>
      </c>
      <c r="D67" s="3058">
        <f>ROUND(+D137+D226+D264+D267+D290+D291,1)</f>
        <v>199788910</v>
      </c>
      <c r="E67" s="3058">
        <f>ROUND(+E137+E226+E264+E267+E290+E291,1)</f>
        <v>275281830</v>
      </c>
      <c r="F67" s="3058">
        <f>ROUND(+F137+F226+F264+F267+F290+F291,1)</f>
        <v>167538840</v>
      </c>
      <c r="G67" s="3058">
        <f>'ANGAJ BUGETAR'!C44</f>
        <v>275281824</v>
      </c>
      <c r="H67" s="3058">
        <f>+I67+J67</f>
        <v>362874457</v>
      </c>
      <c r="I67" s="3058">
        <f>ROUND(+I137+I226+I264+I267+I290+I291,1)</f>
        <v>63537794</v>
      </c>
      <c r="J67" s="3058">
        <f>'ANGAJAM LEGAL '!E44</f>
        <v>299336663</v>
      </c>
      <c r="K67" s="3058">
        <f>+PLATI!C44</f>
        <v>167295601</v>
      </c>
      <c r="L67" s="3058">
        <f>ROUND(+L137+L226+L264+L267+L290+L291,1)</f>
        <v>195578856</v>
      </c>
      <c r="M67" s="3126">
        <f>ROUND(+M137+M226+M264+M267+M290+M291,1)</f>
        <v>134168267</v>
      </c>
      <c r="N67" s="85"/>
      <c r="O67" s="1937" t="str">
        <f t="shared" si="55"/>
        <v xml:space="preserve"> </v>
      </c>
      <c r="P67" s="1937" t="str">
        <f t="shared" si="4"/>
        <v xml:space="preserve"> </v>
      </c>
      <c r="Q67" s="735"/>
      <c r="R67" s="1939" t="str">
        <f t="shared" si="5"/>
        <v xml:space="preserve"> </v>
      </c>
      <c r="S67" s="1939" t="str">
        <f t="shared" si="1"/>
        <v xml:space="preserve"> </v>
      </c>
      <c r="T67" s="1937" t="str">
        <f t="shared" si="6"/>
        <v xml:space="preserve"> </v>
      </c>
      <c r="U67" s="1937" t="str">
        <f t="shared" si="58"/>
        <v xml:space="preserve"> </v>
      </c>
      <c r="V67" s="727"/>
    </row>
    <row r="68" spans="1:22" s="728" customFormat="1" ht="34.9" customHeight="1">
      <c r="A68" s="3196" t="s">
        <v>1048</v>
      </c>
      <c r="B68" s="3187" t="s">
        <v>1049</v>
      </c>
      <c r="C68" s="3197">
        <v>15000</v>
      </c>
      <c r="D68" s="3197">
        <v>6000</v>
      </c>
      <c r="E68" s="3197">
        <v>15000</v>
      </c>
      <c r="F68" s="3197">
        <v>6000</v>
      </c>
      <c r="G68" s="3199">
        <f>'ANGAJ BUGETAR'!C45</f>
        <v>2625</v>
      </c>
      <c r="H68" s="3188">
        <f>I68+J68</f>
        <v>2625</v>
      </c>
      <c r="I68" s="3188">
        <f>'ANGAJAM LEGAL '!D45</f>
        <v>0</v>
      </c>
      <c r="J68" s="3199">
        <f>'ANGAJAM LEGAL '!E45</f>
        <v>2625</v>
      </c>
      <c r="K68" s="3199">
        <f>PLATI!C45</f>
        <v>2625</v>
      </c>
      <c r="L68" s="3188">
        <f>ROUND(H68-K68,1)</f>
        <v>0</v>
      </c>
      <c r="M68" s="3200">
        <v>2632</v>
      </c>
      <c r="N68" s="1675"/>
      <c r="O68" s="1937" t="str">
        <f t="shared" si="55"/>
        <v xml:space="preserve"> </v>
      </c>
      <c r="P68" s="1937" t="str">
        <f t="shared" si="4"/>
        <v xml:space="preserve"> </v>
      </c>
      <c r="Q68" s="1937" t="str">
        <f t="shared" ref="Q68:Q121" si="60">IF(E68&lt;H68," EROARE"," ")</f>
        <v xml:space="preserve"> </v>
      </c>
      <c r="R68" s="1939" t="str">
        <f t="shared" si="5"/>
        <v xml:space="preserve"> </v>
      </c>
      <c r="S68" s="1939" t="str">
        <f t="shared" si="1"/>
        <v xml:space="preserve"> </v>
      </c>
      <c r="T68" s="1937" t="str">
        <f t="shared" si="6"/>
        <v xml:space="preserve"> </v>
      </c>
      <c r="U68" s="1937" t="str">
        <f t="shared" si="58"/>
        <v xml:space="preserve"> </v>
      </c>
      <c r="V68" s="727"/>
    </row>
    <row r="69" spans="1:22" s="728" customFormat="1" ht="43.9" customHeight="1">
      <c r="A69" s="3935" t="s">
        <v>1793</v>
      </c>
      <c r="B69" s="2719" t="s">
        <v>1050</v>
      </c>
      <c r="C69" s="2720">
        <v>205000</v>
      </c>
      <c r="D69" s="2721">
        <v>113000</v>
      </c>
      <c r="E69" s="2720">
        <v>205000</v>
      </c>
      <c r="F69" s="2721">
        <v>113000</v>
      </c>
      <c r="G69" s="2722">
        <f>'ANGAJ BUGETAR'!C46</f>
        <v>205000</v>
      </c>
      <c r="H69" s="2723">
        <f>I69+J69</f>
        <v>205000</v>
      </c>
      <c r="I69" s="2723">
        <f>'ANGAJAM LEGAL '!D46</f>
        <v>0</v>
      </c>
      <c r="J69" s="2722">
        <f>'ANGAJAM LEGAL '!E46</f>
        <v>205000</v>
      </c>
      <c r="K69" s="2722">
        <f>PLATI!C46</f>
        <v>111836</v>
      </c>
      <c r="L69" s="2723">
        <f>ROUND(H69-K69,1)</f>
        <v>93164</v>
      </c>
      <c r="M69" s="2724">
        <v>112927</v>
      </c>
      <c r="N69" s="1675"/>
      <c r="O69" s="1937" t="str">
        <f t="shared" ref="O69:O87" si="61">IF(F69&lt;K69," EROARE"," ")</f>
        <v xml:space="preserve"> </v>
      </c>
      <c r="P69" s="1937" t="str">
        <f t="shared" si="4"/>
        <v xml:space="preserve"> </v>
      </c>
      <c r="Q69" s="1937" t="str">
        <f t="shared" si="60"/>
        <v xml:space="preserve"> </v>
      </c>
      <c r="R69" s="1939" t="str">
        <f t="shared" si="5"/>
        <v xml:space="preserve"> </v>
      </c>
      <c r="S69" s="1939" t="str">
        <f t="shared" si="1"/>
        <v xml:space="preserve"> </v>
      </c>
      <c r="T69" s="1937" t="str">
        <f t="shared" si="6"/>
        <v xml:space="preserve"> </v>
      </c>
      <c r="U69" s="1937" t="str">
        <f t="shared" si="58"/>
        <v xml:space="preserve"> </v>
      </c>
      <c r="V69" s="727"/>
    </row>
    <row r="70" spans="1:22" s="728" customFormat="1" ht="39.6" customHeight="1">
      <c r="A70" s="3122" t="s">
        <v>1593</v>
      </c>
      <c r="B70" s="3044"/>
      <c r="C70" s="3045"/>
      <c r="D70" s="3045"/>
      <c r="E70" s="3045"/>
      <c r="F70" s="3046"/>
      <c r="G70" s="3059">
        <f>'ANGAJ BUGETAR'!C47</f>
        <v>0</v>
      </c>
      <c r="H70" s="3058">
        <f>I70+J70</f>
        <v>0</v>
      </c>
      <c r="I70" s="3058">
        <f>'ANGAJAM LEGAL '!D47</f>
        <v>0</v>
      </c>
      <c r="J70" s="3059">
        <f>'ANGAJAM LEGAL '!E47</f>
        <v>0</v>
      </c>
      <c r="K70" s="3059">
        <f>PLATI!C47</f>
        <v>0</v>
      </c>
      <c r="L70" s="3058">
        <f>ROUND(H70-K70,1)</f>
        <v>0</v>
      </c>
      <c r="M70" s="3047"/>
      <c r="N70" s="1675"/>
      <c r="O70" s="1937" t="str">
        <f t="shared" si="61"/>
        <v xml:space="preserve"> </v>
      </c>
      <c r="P70" s="1937" t="str">
        <f t="shared" si="4"/>
        <v xml:space="preserve"> </v>
      </c>
      <c r="Q70" s="1937" t="str">
        <f t="shared" si="60"/>
        <v xml:space="preserve"> </v>
      </c>
      <c r="R70" s="1939" t="str">
        <f t="shared" si="5"/>
        <v xml:space="preserve"> </v>
      </c>
      <c r="S70" s="1939" t="str">
        <f t="shared" si="1"/>
        <v xml:space="preserve"> </v>
      </c>
      <c r="T70" s="1937" t="str">
        <f t="shared" si="6"/>
        <v xml:space="preserve"> </v>
      </c>
      <c r="U70" s="1937" t="str">
        <f t="shared" si="58"/>
        <v xml:space="preserve"> </v>
      </c>
      <c r="V70" s="727"/>
    </row>
    <row r="71" spans="1:22" s="728" customFormat="1" ht="25.5">
      <c r="A71" s="3122" t="s">
        <v>1794</v>
      </c>
      <c r="B71" s="3044"/>
      <c r="C71" s="3045">
        <v>48000</v>
      </c>
      <c r="D71" s="3046">
        <v>24000</v>
      </c>
      <c r="E71" s="3045">
        <v>48000</v>
      </c>
      <c r="F71" s="3046">
        <v>24000</v>
      </c>
      <c r="G71" s="3059">
        <f>'ANGAJ BUGETAR'!C48</f>
        <v>48000</v>
      </c>
      <c r="H71" s="3058">
        <f>I71+J71</f>
        <v>48000</v>
      </c>
      <c r="I71" s="3058">
        <f>'ANGAJAM LEGAL '!D48</f>
        <v>0</v>
      </c>
      <c r="J71" s="3059">
        <f>'ANGAJAM LEGAL '!E48</f>
        <v>48000</v>
      </c>
      <c r="K71" s="3059">
        <f>PLATI!C48</f>
        <v>22836</v>
      </c>
      <c r="L71" s="3058">
        <f>ROUND(H71-K71,1)</f>
        <v>25164</v>
      </c>
      <c r="M71" s="3047">
        <v>22836</v>
      </c>
      <c r="N71" s="1675"/>
      <c r="O71" s="1937" t="str">
        <f t="shared" si="61"/>
        <v xml:space="preserve"> </v>
      </c>
      <c r="P71" s="1937" t="str">
        <f t="shared" si="4"/>
        <v xml:space="preserve"> </v>
      </c>
      <c r="Q71" s="1937" t="str">
        <f t="shared" si="60"/>
        <v xml:space="preserve"> </v>
      </c>
      <c r="R71" s="1939" t="str">
        <f t="shared" si="5"/>
        <v xml:space="preserve"> </v>
      </c>
      <c r="S71" s="1939" t="str">
        <f t="shared" si="1"/>
        <v xml:space="preserve"> </v>
      </c>
      <c r="T71" s="1937" t="str">
        <f t="shared" si="6"/>
        <v xml:space="preserve"> </v>
      </c>
      <c r="U71" s="1937" t="str">
        <f t="shared" si="58"/>
        <v xml:space="preserve"> </v>
      </c>
      <c r="V71" s="727"/>
    </row>
    <row r="72" spans="1:22" s="732" customFormat="1" ht="18" customHeight="1">
      <c r="A72" s="3124" t="s">
        <v>1051</v>
      </c>
      <c r="B72" s="3125" t="s">
        <v>1052</v>
      </c>
      <c r="C72" s="3127">
        <v>25000</v>
      </c>
      <c r="D72" s="3128">
        <v>25000</v>
      </c>
      <c r="E72" s="3127">
        <v>25000</v>
      </c>
      <c r="F72" s="3128">
        <v>25000</v>
      </c>
      <c r="G72" s="3067">
        <f>'ANGAJ BUGETAR'!C49</f>
        <v>8881</v>
      </c>
      <c r="H72" s="3060">
        <f>I72+J72</f>
        <v>8881</v>
      </c>
      <c r="I72" s="3060">
        <f>'ANGAJAM LEGAL '!D49</f>
        <v>0</v>
      </c>
      <c r="J72" s="3067">
        <f>'ANGAJAM LEGAL '!E49</f>
        <v>8881</v>
      </c>
      <c r="K72" s="3129">
        <f>PLATI!C49</f>
        <v>8881</v>
      </c>
      <c r="L72" s="3060">
        <f>ROUND(H72-K72,1)</f>
        <v>0</v>
      </c>
      <c r="M72" s="3130">
        <v>8881</v>
      </c>
      <c r="N72" s="1951"/>
      <c r="O72" s="1937" t="str">
        <f t="shared" si="61"/>
        <v xml:space="preserve"> </v>
      </c>
      <c r="P72" s="1937" t="str">
        <f t="shared" si="4"/>
        <v xml:space="preserve"> </v>
      </c>
      <c r="Q72" s="1937" t="str">
        <f t="shared" si="60"/>
        <v xml:space="preserve"> </v>
      </c>
      <c r="R72" s="1939" t="str">
        <f t="shared" si="5"/>
        <v xml:space="preserve"> </v>
      </c>
      <c r="S72" s="1939" t="str">
        <f t="shared" ref="S72:S131" si="62">IF(G72&lt;K72," EROARE"," ")</f>
        <v xml:space="preserve"> </v>
      </c>
      <c r="T72" s="1937" t="str">
        <f t="shared" si="6"/>
        <v xml:space="preserve"> </v>
      </c>
      <c r="U72" s="1937" t="str">
        <f>IF(L72&lt;0," EROARE"," ")</f>
        <v xml:space="preserve"> </v>
      </c>
      <c r="V72" s="731"/>
    </row>
    <row r="73" spans="1:22" s="732" customFormat="1" ht="25.5">
      <c r="A73" s="3124" t="s">
        <v>1053</v>
      </c>
      <c r="B73" s="3125" t="s">
        <v>1054</v>
      </c>
      <c r="C73" s="3113">
        <f t="shared" ref="C73:M73" si="63">+C74</f>
        <v>26000</v>
      </c>
      <c r="D73" s="3113">
        <f t="shared" si="63"/>
        <v>26000</v>
      </c>
      <c r="E73" s="3113">
        <f t="shared" si="63"/>
        <v>26000</v>
      </c>
      <c r="F73" s="3113">
        <f t="shared" si="63"/>
        <v>26000</v>
      </c>
      <c r="G73" s="3113">
        <f t="shared" si="63"/>
        <v>9217</v>
      </c>
      <c r="H73" s="3113">
        <f t="shared" si="63"/>
        <v>9217</v>
      </c>
      <c r="I73" s="3113">
        <f t="shared" si="63"/>
        <v>0</v>
      </c>
      <c r="J73" s="3113">
        <f t="shared" si="63"/>
        <v>9217</v>
      </c>
      <c r="K73" s="3113">
        <f t="shared" si="63"/>
        <v>9217</v>
      </c>
      <c r="L73" s="3113">
        <f t="shared" si="63"/>
        <v>0</v>
      </c>
      <c r="M73" s="3114">
        <f t="shared" si="63"/>
        <v>0</v>
      </c>
      <c r="N73" s="1949"/>
      <c r="O73" s="1937" t="str">
        <f t="shared" si="61"/>
        <v xml:space="preserve"> </v>
      </c>
      <c r="P73" s="1937" t="str">
        <f t="shared" ref="P73:P121" si="64">IF(E73&lt;G73," EROARE"," ")</f>
        <v xml:space="preserve"> </v>
      </c>
      <c r="Q73" s="1937" t="str">
        <f t="shared" si="60"/>
        <v xml:space="preserve"> </v>
      </c>
      <c r="R73" s="1939" t="str">
        <f t="shared" ref="R73:R131" si="65">IF(C73&lt;J73," EROARE"," ")</f>
        <v xml:space="preserve"> </v>
      </c>
      <c r="S73" s="1939" t="str">
        <f t="shared" si="62"/>
        <v xml:space="preserve"> </v>
      </c>
      <c r="T73" s="1937" t="str">
        <f t="shared" si="6"/>
        <v xml:space="preserve"> </v>
      </c>
      <c r="U73" s="1937" t="str">
        <f t="shared" si="58"/>
        <v xml:space="preserve"> </v>
      </c>
      <c r="V73" s="731"/>
    </row>
    <row r="74" spans="1:22" s="728" customFormat="1" ht="18" customHeight="1">
      <c r="A74" s="3116" t="s">
        <v>943</v>
      </c>
      <c r="B74" s="3044" t="s">
        <v>1055</v>
      </c>
      <c r="C74" s="3045">
        <v>26000</v>
      </c>
      <c r="D74" s="3046">
        <v>26000</v>
      </c>
      <c r="E74" s="3045">
        <v>26000</v>
      </c>
      <c r="F74" s="3046">
        <v>26000</v>
      </c>
      <c r="G74" s="3059">
        <f>'ANGAJ BUGETAR'!C51</f>
        <v>9217</v>
      </c>
      <c r="H74" s="3058">
        <f>I74+J74</f>
        <v>9217</v>
      </c>
      <c r="I74" s="3058">
        <f>'ANGAJAM LEGAL '!D51</f>
        <v>0</v>
      </c>
      <c r="J74" s="3059">
        <f>'ANGAJAM LEGAL '!E51</f>
        <v>9217</v>
      </c>
      <c r="K74" s="3059">
        <f>PLATI!C51</f>
        <v>9217</v>
      </c>
      <c r="L74" s="3058">
        <f>ROUND(H74-K74,1)</f>
        <v>0</v>
      </c>
      <c r="M74" s="3047"/>
      <c r="N74" s="1675"/>
      <c r="O74" s="1937" t="str">
        <f t="shared" si="61"/>
        <v xml:space="preserve"> </v>
      </c>
      <c r="P74" s="1937" t="str">
        <f t="shared" si="64"/>
        <v xml:space="preserve"> </v>
      </c>
      <c r="Q74" s="1937" t="str">
        <f t="shared" si="60"/>
        <v xml:space="preserve"> </v>
      </c>
      <c r="R74" s="1939" t="str">
        <f t="shared" si="65"/>
        <v xml:space="preserve"> </v>
      </c>
      <c r="S74" s="1939" t="str">
        <f t="shared" si="62"/>
        <v xml:space="preserve"> </v>
      </c>
      <c r="T74" s="1937" t="str">
        <f t="shared" ref="T74:T137" si="66">IF(H74&lt;K74," EROARE"," ")</f>
        <v xml:space="preserve"> </v>
      </c>
      <c r="U74" s="1937" t="str">
        <f t="shared" si="58"/>
        <v xml:space="preserve"> </v>
      </c>
      <c r="V74" s="727"/>
    </row>
    <row r="75" spans="1:22" s="732" customFormat="1" ht="18" customHeight="1">
      <c r="A75" s="3124" t="s">
        <v>1056</v>
      </c>
      <c r="B75" s="3125" t="s">
        <v>1057</v>
      </c>
      <c r="C75" s="3113">
        <f>C76+C77</f>
        <v>0</v>
      </c>
      <c r="D75" s="3113">
        <f>D76+D77</f>
        <v>0</v>
      </c>
      <c r="E75" s="3113">
        <f t="shared" ref="E75:M75" si="67">ROUND(+E76+E77,1)</f>
        <v>0</v>
      </c>
      <c r="F75" s="3113">
        <f t="shared" si="67"/>
        <v>0</v>
      </c>
      <c r="G75" s="3113">
        <f t="shared" si="67"/>
        <v>0</v>
      </c>
      <c r="H75" s="3113">
        <f t="shared" si="67"/>
        <v>0</v>
      </c>
      <c r="I75" s="3113">
        <f t="shared" si="67"/>
        <v>0</v>
      </c>
      <c r="J75" s="3113">
        <f t="shared" si="67"/>
        <v>0</v>
      </c>
      <c r="K75" s="3113">
        <f t="shared" si="67"/>
        <v>0</v>
      </c>
      <c r="L75" s="3113">
        <f t="shared" si="67"/>
        <v>0</v>
      </c>
      <c r="M75" s="3114">
        <f t="shared" si="67"/>
        <v>0</v>
      </c>
      <c r="N75" s="1949"/>
      <c r="O75" s="1937" t="str">
        <f t="shared" si="61"/>
        <v xml:space="preserve"> </v>
      </c>
      <c r="P75" s="1937" t="str">
        <f t="shared" si="64"/>
        <v xml:space="preserve"> </v>
      </c>
      <c r="Q75" s="1937" t="str">
        <f t="shared" si="60"/>
        <v xml:space="preserve"> </v>
      </c>
      <c r="R75" s="1939" t="str">
        <f t="shared" si="65"/>
        <v xml:space="preserve"> </v>
      </c>
      <c r="S75" s="1939" t="str">
        <f t="shared" si="62"/>
        <v xml:space="preserve"> </v>
      </c>
      <c r="T75" s="1937" t="str">
        <f t="shared" si="66"/>
        <v xml:space="preserve"> </v>
      </c>
      <c r="U75" s="1937" t="str">
        <f t="shared" si="58"/>
        <v xml:space="preserve"> </v>
      </c>
      <c r="V75" s="731"/>
    </row>
    <row r="76" spans="1:22" s="728" customFormat="1">
      <c r="A76" s="3116" t="s">
        <v>1058</v>
      </c>
      <c r="B76" s="3044" t="s">
        <v>1059</v>
      </c>
      <c r="C76" s="3045"/>
      <c r="D76" s="3045"/>
      <c r="E76" s="3045"/>
      <c r="F76" s="3045"/>
      <c r="G76" s="3059">
        <f>'ANGAJ BUGETAR'!C53</f>
        <v>0</v>
      </c>
      <c r="H76" s="3058">
        <f t="shared" ref="H76:H81" si="68">I76+J76</f>
        <v>0</v>
      </c>
      <c r="I76" s="3058">
        <f>'ANGAJAM LEGAL '!D53</f>
        <v>0</v>
      </c>
      <c r="J76" s="3058">
        <f>'ANGAJAM LEGAL '!E53</f>
        <v>0</v>
      </c>
      <c r="K76" s="3059">
        <f>PLATI!C53</f>
        <v>0</v>
      </c>
      <c r="L76" s="3058">
        <f t="shared" ref="L76:L81" si="69">ROUND(H76-K76,1)</f>
        <v>0</v>
      </c>
      <c r="M76" s="3047"/>
      <c r="N76" s="1958" t="str">
        <f t="shared" ref="N76:N77" si="70">IF(L76&lt;&gt;0," EROARE"," ")</f>
        <v xml:space="preserve"> </v>
      </c>
      <c r="O76" s="1937" t="str">
        <f t="shared" si="61"/>
        <v xml:space="preserve"> </v>
      </c>
      <c r="P76" s="1937" t="str">
        <f t="shared" si="64"/>
        <v xml:space="preserve"> </v>
      </c>
      <c r="Q76" s="1937" t="str">
        <f t="shared" si="60"/>
        <v xml:space="preserve"> </v>
      </c>
      <c r="R76" s="1939" t="str">
        <f t="shared" si="65"/>
        <v xml:space="preserve"> </v>
      </c>
      <c r="S76" s="1939" t="str">
        <f t="shared" si="62"/>
        <v xml:space="preserve"> </v>
      </c>
      <c r="T76" s="1937" t="str">
        <f t="shared" si="66"/>
        <v xml:space="preserve"> </v>
      </c>
      <c r="U76" s="1937" t="str">
        <f t="shared" si="58"/>
        <v xml:space="preserve"> </v>
      </c>
      <c r="V76" s="727"/>
    </row>
    <row r="77" spans="1:22" s="728" customFormat="1" ht="18" customHeight="1">
      <c r="A77" s="3116" t="s">
        <v>1060</v>
      </c>
      <c r="B77" s="3044" t="s">
        <v>1061</v>
      </c>
      <c r="C77" s="3045"/>
      <c r="D77" s="3045"/>
      <c r="E77" s="3045"/>
      <c r="F77" s="3045"/>
      <c r="G77" s="3059">
        <f>'ANGAJ BUGETAR'!C54</f>
        <v>0</v>
      </c>
      <c r="H77" s="3058">
        <f t="shared" si="68"/>
        <v>0</v>
      </c>
      <c r="I77" s="3058">
        <f>'ANGAJAM LEGAL '!D54</f>
        <v>0</v>
      </c>
      <c r="J77" s="3058">
        <f>'ANGAJAM LEGAL '!E54</f>
        <v>0</v>
      </c>
      <c r="K77" s="3059">
        <f>PLATI!C54</f>
        <v>0</v>
      </c>
      <c r="L77" s="3058">
        <f t="shared" si="69"/>
        <v>0</v>
      </c>
      <c r="M77" s="3047"/>
      <c r="N77" s="1958" t="str">
        <f t="shared" si="70"/>
        <v xml:space="preserve"> </v>
      </c>
      <c r="O77" s="1937" t="str">
        <f t="shared" si="61"/>
        <v xml:space="preserve"> </v>
      </c>
      <c r="P77" s="1937" t="str">
        <f t="shared" si="64"/>
        <v xml:space="preserve"> </v>
      </c>
      <c r="Q77" s="1937" t="str">
        <f t="shared" si="60"/>
        <v xml:space="preserve"> </v>
      </c>
      <c r="R77" s="1939" t="str">
        <f t="shared" si="65"/>
        <v xml:space="preserve"> </v>
      </c>
      <c r="S77" s="1939" t="str">
        <f t="shared" si="62"/>
        <v xml:space="preserve"> </v>
      </c>
      <c r="T77" s="1937" t="str">
        <f t="shared" si="66"/>
        <v xml:space="preserve"> </v>
      </c>
      <c r="U77" s="1937" t="str">
        <f t="shared" si="58"/>
        <v xml:space="preserve"> </v>
      </c>
      <c r="V77" s="727"/>
    </row>
    <row r="78" spans="1:22" s="732" customFormat="1" ht="25.5">
      <c r="A78" s="3124" t="s">
        <v>951</v>
      </c>
      <c r="B78" s="3125" t="s">
        <v>1062</v>
      </c>
      <c r="C78" s="3127">
        <v>8000</v>
      </c>
      <c r="D78" s="3131">
        <v>8000</v>
      </c>
      <c r="E78" s="3127">
        <v>8000</v>
      </c>
      <c r="F78" s="3131">
        <v>8000</v>
      </c>
      <c r="G78" s="3067">
        <f>'ANGAJ BUGETAR'!C55</f>
        <v>7021</v>
      </c>
      <c r="H78" s="3060">
        <f t="shared" si="68"/>
        <v>7021</v>
      </c>
      <c r="I78" s="3060">
        <f>'ANGAJAM LEGAL '!D55</f>
        <v>0</v>
      </c>
      <c r="J78" s="3060">
        <f>'ANGAJAM LEGAL '!E55</f>
        <v>7021</v>
      </c>
      <c r="K78" s="3067">
        <f>PLATI!C55</f>
        <v>7021</v>
      </c>
      <c r="L78" s="3060">
        <f t="shared" si="69"/>
        <v>0</v>
      </c>
      <c r="M78" s="3130">
        <v>7338</v>
      </c>
      <c r="N78" s="1951"/>
      <c r="O78" s="1937" t="str">
        <f t="shared" si="61"/>
        <v xml:space="preserve"> </v>
      </c>
      <c r="P78" s="1937" t="str">
        <f t="shared" si="64"/>
        <v xml:space="preserve"> </v>
      </c>
      <c r="Q78" s="1937" t="str">
        <f t="shared" si="60"/>
        <v xml:space="preserve"> </v>
      </c>
      <c r="R78" s="1939" t="str">
        <f t="shared" si="65"/>
        <v xml:space="preserve"> </v>
      </c>
      <c r="S78" s="1939" t="str">
        <f t="shared" si="62"/>
        <v xml:space="preserve"> </v>
      </c>
      <c r="T78" s="1937" t="str">
        <f t="shared" si="66"/>
        <v xml:space="preserve"> </v>
      </c>
      <c r="U78" s="1937" t="str">
        <f t="shared" si="58"/>
        <v xml:space="preserve"> </v>
      </c>
      <c r="V78" s="731"/>
    </row>
    <row r="79" spans="1:22" s="732" customFormat="1" ht="18" customHeight="1">
      <c r="A79" s="3124" t="s">
        <v>1530</v>
      </c>
      <c r="B79" s="3125" t="s">
        <v>1063</v>
      </c>
      <c r="C79" s="3131"/>
      <c r="D79" s="3131"/>
      <c r="E79" s="3127"/>
      <c r="F79" s="3128"/>
      <c r="G79" s="3067">
        <f>'ANGAJ BUGETAR'!C56</f>
        <v>0</v>
      </c>
      <c r="H79" s="3060">
        <f t="shared" si="68"/>
        <v>0</v>
      </c>
      <c r="I79" s="3060">
        <f>'ANGAJAM LEGAL '!D56</f>
        <v>0</v>
      </c>
      <c r="J79" s="3060">
        <f>'ANGAJAM LEGAL '!E56</f>
        <v>0</v>
      </c>
      <c r="K79" s="3059">
        <f>PLATI!C56</f>
        <v>0</v>
      </c>
      <c r="L79" s="3060">
        <f t="shared" si="69"/>
        <v>0</v>
      </c>
      <c r="M79" s="3130"/>
      <c r="N79" s="1951"/>
      <c r="O79" s="1937" t="str">
        <f t="shared" si="61"/>
        <v xml:space="preserve"> </v>
      </c>
      <c r="P79" s="1937" t="str">
        <f t="shared" si="64"/>
        <v xml:space="preserve"> </v>
      </c>
      <c r="Q79" s="1937" t="str">
        <f t="shared" si="60"/>
        <v xml:space="preserve"> </v>
      </c>
      <c r="R79" s="1939" t="str">
        <f t="shared" si="65"/>
        <v xml:space="preserve"> </v>
      </c>
      <c r="S79" s="1939" t="str">
        <f t="shared" si="62"/>
        <v xml:space="preserve"> </v>
      </c>
      <c r="T79" s="1937" t="str">
        <f t="shared" si="66"/>
        <v xml:space="preserve"> </v>
      </c>
      <c r="U79" s="1937" t="str">
        <f t="shared" si="58"/>
        <v xml:space="preserve"> </v>
      </c>
      <c r="V79" s="731"/>
    </row>
    <row r="80" spans="1:22" s="732" customFormat="1" ht="18" customHeight="1">
      <c r="A80" s="3124" t="s">
        <v>955</v>
      </c>
      <c r="B80" s="3125" t="s">
        <v>1064</v>
      </c>
      <c r="C80" s="3131"/>
      <c r="D80" s="3131"/>
      <c r="E80" s="3127"/>
      <c r="F80" s="3128"/>
      <c r="G80" s="3067">
        <f>'ANGAJ BUGETAR'!C57</f>
        <v>0</v>
      </c>
      <c r="H80" s="3060">
        <f t="shared" si="68"/>
        <v>0</v>
      </c>
      <c r="I80" s="3060">
        <f>'ANGAJAM LEGAL '!D57</f>
        <v>0</v>
      </c>
      <c r="J80" s="3060">
        <f>'ANGAJAM LEGAL '!E57</f>
        <v>0</v>
      </c>
      <c r="K80" s="3059">
        <f>PLATI!C57</f>
        <v>0</v>
      </c>
      <c r="L80" s="3060">
        <f t="shared" si="69"/>
        <v>0</v>
      </c>
      <c r="M80" s="3130"/>
      <c r="N80" s="1951"/>
      <c r="O80" s="1937" t="str">
        <f t="shared" si="61"/>
        <v xml:space="preserve"> </v>
      </c>
      <c r="P80" s="1937" t="str">
        <f t="shared" si="64"/>
        <v xml:space="preserve"> </v>
      </c>
      <c r="Q80" s="1937" t="str">
        <f t="shared" si="60"/>
        <v xml:space="preserve"> </v>
      </c>
      <c r="R80" s="1939" t="str">
        <f t="shared" si="65"/>
        <v xml:space="preserve"> </v>
      </c>
      <c r="S80" s="1939" t="str">
        <f t="shared" si="62"/>
        <v xml:space="preserve"> </v>
      </c>
      <c r="T80" s="1937" t="str">
        <f t="shared" si="66"/>
        <v xml:space="preserve"> </v>
      </c>
      <c r="U80" s="1937" t="str">
        <f t="shared" si="58"/>
        <v xml:space="preserve"> </v>
      </c>
      <c r="V80" s="731"/>
    </row>
    <row r="81" spans="1:22" s="732" customFormat="1" ht="18" customHeight="1">
      <c r="A81" s="3124" t="s">
        <v>957</v>
      </c>
      <c r="B81" s="3125" t="s">
        <v>1065</v>
      </c>
      <c r="C81" s="3127">
        <v>7000</v>
      </c>
      <c r="D81" s="3131">
        <v>3000</v>
      </c>
      <c r="E81" s="3127">
        <v>7000</v>
      </c>
      <c r="F81" s="3131">
        <v>3000</v>
      </c>
      <c r="G81" s="3067">
        <f>'ANGAJ BUGETAR'!C58</f>
        <v>4000</v>
      </c>
      <c r="H81" s="3060">
        <f t="shared" si="68"/>
        <v>4000</v>
      </c>
      <c r="I81" s="3060">
        <f>'ANGAJAM LEGAL '!D58</f>
        <v>0</v>
      </c>
      <c r="J81" s="3060">
        <f>'ANGAJAM LEGAL '!E58</f>
        <v>4000</v>
      </c>
      <c r="K81" s="3067">
        <f>PLATI!C58</f>
        <v>1000</v>
      </c>
      <c r="L81" s="3060">
        <f t="shared" si="69"/>
        <v>3000</v>
      </c>
      <c r="M81" s="3130">
        <v>1000</v>
      </c>
      <c r="N81" s="1951"/>
      <c r="O81" s="1937" t="str">
        <f t="shared" si="61"/>
        <v xml:space="preserve"> </v>
      </c>
      <c r="P81" s="1937" t="str">
        <f t="shared" si="64"/>
        <v xml:space="preserve"> </v>
      </c>
      <c r="Q81" s="1937" t="str">
        <f t="shared" si="60"/>
        <v xml:space="preserve"> </v>
      </c>
      <c r="R81" s="1939" t="str">
        <f t="shared" si="65"/>
        <v xml:space="preserve"> </v>
      </c>
      <c r="S81" s="1939" t="str">
        <f t="shared" si="62"/>
        <v xml:space="preserve"> </v>
      </c>
      <c r="T81" s="1937" t="str">
        <f t="shared" si="66"/>
        <v xml:space="preserve"> </v>
      </c>
      <c r="U81" s="1937" t="str">
        <f t="shared" si="58"/>
        <v xml:space="preserve"> </v>
      </c>
      <c r="V81" s="731"/>
    </row>
    <row r="82" spans="1:22" s="732" customFormat="1" ht="48">
      <c r="A82" s="3132" t="s">
        <v>2093</v>
      </c>
      <c r="B82" s="3133" t="s">
        <v>2092</v>
      </c>
      <c r="C82" s="3127">
        <v>8840</v>
      </c>
      <c r="D82" s="3131">
        <v>3170</v>
      </c>
      <c r="E82" s="3127">
        <v>8840</v>
      </c>
      <c r="F82" s="3131">
        <v>3170</v>
      </c>
      <c r="G82" s="3067">
        <f>'ANGAJ BUGETAR'!C59</f>
        <v>3162</v>
      </c>
      <c r="H82" s="3060">
        <f t="shared" ref="H82" si="71">I82+J82</f>
        <v>3162</v>
      </c>
      <c r="I82" s="3060">
        <f>'ANGAJAM LEGAL '!D59</f>
        <v>0</v>
      </c>
      <c r="J82" s="3060">
        <f>'ANGAJAM LEGAL '!E59</f>
        <v>3162</v>
      </c>
      <c r="K82" s="3067">
        <f>PLATI!C59</f>
        <v>3162</v>
      </c>
      <c r="L82" s="3060">
        <f t="shared" ref="L82" si="72">ROUND(H82-K82,1)</f>
        <v>0</v>
      </c>
      <c r="M82" s="3130">
        <v>3162</v>
      </c>
      <c r="N82" s="1951"/>
      <c r="O82" s="1937" t="str">
        <f t="shared" si="61"/>
        <v xml:space="preserve"> </v>
      </c>
      <c r="P82" s="1937" t="str">
        <f t="shared" si="64"/>
        <v xml:space="preserve"> </v>
      </c>
      <c r="Q82" s="1937" t="str">
        <f t="shared" si="60"/>
        <v xml:space="preserve"> </v>
      </c>
      <c r="R82" s="1939" t="str">
        <f t="shared" si="65"/>
        <v xml:space="preserve"> </v>
      </c>
      <c r="S82" s="1939" t="str">
        <f t="shared" si="62"/>
        <v xml:space="preserve"> </v>
      </c>
      <c r="T82" s="1937" t="str">
        <f t="shared" si="66"/>
        <v xml:space="preserve"> </v>
      </c>
      <c r="U82" s="1937" t="str">
        <f t="shared" si="58"/>
        <v xml:space="preserve"> </v>
      </c>
      <c r="V82" s="731"/>
    </row>
    <row r="83" spans="1:22" s="732" customFormat="1" ht="18" customHeight="1">
      <c r="A83" s="3124" t="s">
        <v>1066</v>
      </c>
      <c r="B83" s="3125" t="s">
        <v>1067</v>
      </c>
      <c r="C83" s="3113">
        <f>+C84+C85</f>
        <v>19000</v>
      </c>
      <c r="D83" s="3113">
        <f>+D84+D85</f>
        <v>10000</v>
      </c>
      <c r="E83" s="3060">
        <f t="shared" ref="E83:M83" si="73">ROUND(+E84+E85,1)</f>
        <v>19000</v>
      </c>
      <c r="F83" s="3060">
        <f t="shared" si="73"/>
        <v>10000</v>
      </c>
      <c r="G83" s="3060">
        <f t="shared" si="73"/>
        <v>18480</v>
      </c>
      <c r="H83" s="3060">
        <f t="shared" si="73"/>
        <v>18480</v>
      </c>
      <c r="I83" s="3060">
        <f t="shared" si="73"/>
        <v>0</v>
      </c>
      <c r="J83" s="3060">
        <f t="shared" si="73"/>
        <v>18480</v>
      </c>
      <c r="K83" s="3060">
        <f t="shared" si="73"/>
        <v>8980</v>
      </c>
      <c r="L83" s="3060">
        <f t="shared" si="73"/>
        <v>9500</v>
      </c>
      <c r="M83" s="3068">
        <f t="shared" si="73"/>
        <v>8980</v>
      </c>
      <c r="N83" s="1950"/>
      <c r="O83" s="1937" t="str">
        <f t="shared" si="61"/>
        <v xml:space="preserve"> </v>
      </c>
      <c r="P83" s="1937" t="str">
        <f t="shared" si="64"/>
        <v xml:space="preserve"> </v>
      </c>
      <c r="Q83" s="1937" t="str">
        <f t="shared" si="60"/>
        <v xml:space="preserve"> </v>
      </c>
      <c r="R83" s="1939" t="str">
        <f t="shared" si="65"/>
        <v xml:space="preserve"> </v>
      </c>
      <c r="S83" s="1939" t="str">
        <f t="shared" si="62"/>
        <v xml:space="preserve"> </v>
      </c>
      <c r="T83" s="1937" t="str">
        <f t="shared" si="66"/>
        <v xml:space="preserve"> </v>
      </c>
      <c r="U83" s="1937" t="str">
        <f t="shared" si="58"/>
        <v xml:space="preserve"> </v>
      </c>
      <c r="V83" s="731"/>
    </row>
    <row r="84" spans="1:22" s="728" customFormat="1" ht="18" customHeight="1">
      <c r="A84" s="3116" t="s">
        <v>870</v>
      </c>
      <c r="B84" s="3044" t="s">
        <v>1068</v>
      </c>
      <c r="C84" s="3045">
        <v>18000</v>
      </c>
      <c r="D84" s="3045">
        <v>9000</v>
      </c>
      <c r="E84" s="3045">
        <v>18000</v>
      </c>
      <c r="F84" s="3045">
        <v>9000</v>
      </c>
      <c r="G84" s="3059">
        <f>'ANGAJ BUGETAR'!C61</f>
        <v>18000</v>
      </c>
      <c r="H84" s="3058">
        <f>I84+J84</f>
        <v>18000</v>
      </c>
      <c r="I84" s="3058">
        <f>'ANGAJAM LEGAL '!D61</f>
        <v>0</v>
      </c>
      <c r="J84" s="3058">
        <f>'ANGAJAM LEGAL '!E61</f>
        <v>18000</v>
      </c>
      <c r="K84" s="3059">
        <f>PLATI!C61</f>
        <v>8500</v>
      </c>
      <c r="L84" s="3058">
        <f>ROUND(H84-K84,1)</f>
        <v>9500</v>
      </c>
      <c r="M84" s="3047">
        <v>8500</v>
      </c>
      <c r="N84" s="1675"/>
      <c r="O84" s="1937" t="str">
        <f t="shared" si="61"/>
        <v xml:space="preserve"> </v>
      </c>
      <c r="P84" s="1937" t="str">
        <f t="shared" si="64"/>
        <v xml:space="preserve"> </v>
      </c>
      <c r="Q84" s="1937" t="str">
        <f t="shared" si="60"/>
        <v xml:space="preserve"> </v>
      </c>
      <c r="R84" s="1939" t="str">
        <f t="shared" si="65"/>
        <v xml:space="preserve"> </v>
      </c>
      <c r="S84" s="1939" t="str">
        <f t="shared" si="62"/>
        <v xml:space="preserve"> </v>
      </c>
      <c r="T84" s="1937" t="str">
        <f t="shared" si="66"/>
        <v xml:space="preserve"> </v>
      </c>
      <c r="U84" s="1937" t="str">
        <f t="shared" si="58"/>
        <v xml:space="preserve"> </v>
      </c>
      <c r="V84" s="727"/>
    </row>
    <row r="85" spans="1:22" s="728" customFormat="1" ht="18" customHeight="1">
      <c r="A85" s="3116" t="s">
        <v>960</v>
      </c>
      <c r="B85" s="3044" t="s">
        <v>1069</v>
      </c>
      <c r="C85" s="3045">
        <v>1000</v>
      </c>
      <c r="D85" s="3045">
        <v>1000</v>
      </c>
      <c r="E85" s="3045">
        <v>1000</v>
      </c>
      <c r="F85" s="3045">
        <v>1000</v>
      </c>
      <c r="G85" s="3059">
        <f>'ANGAJ BUGETAR'!C62</f>
        <v>480</v>
      </c>
      <c r="H85" s="3058">
        <f>I85+J85</f>
        <v>480</v>
      </c>
      <c r="I85" s="3058">
        <f>'ANGAJAM LEGAL '!D62</f>
        <v>0</v>
      </c>
      <c r="J85" s="3058">
        <f>'ANGAJAM LEGAL '!E62</f>
        <v>480</v>
      </c>
      <c r="K85" s="3059">
        <f>PLATI!C62</f>
        <v>480</v>
      </c>
      <c r="L85" s="3058">
        <f>ROUND(H85-K85,1)</f>
        <v>0</v>
      </c>
      <c r="M85" s="3047">
        <v>480</v>
      </c>
      <c r="N85" s="1675"/>
      <c r="O85" s="1937" t="str">
        <f t="shared" si="61"/>
        <v xml:space="preserve"> </v>
      </c>
      <c r="P85" s="1937" t="str">
        <f t="shared" si="64"/>
        <v xml:space="preserve"> </v>
      </c>
      <c r="Q85" s="1937" t="str">
        <f t="shared" si="60"/>
        <v xml:space="preserve"> </v>
      </c>
      <c r="R85" s="1939" t="str">
        <f t="shared" si="65"/>
        <v xml:space="preserve"> </v>
      </c>
      <c r="S85" s="1939" t="str">
        <f t="shared" si="62"/>
        <v xml:space="preserve"> </v>
      </c>
      <c r="T85" s="1937" t="str">
        <f t="shared" si="66"/>
        <v xml:space="preserve"> </v>
      </c>
      <c r="U85" s="1937" t="str">
        <f t="shared" si="58"/>
        <v xml:space="preserve"> </v>
      </c>
      <c r="V85" s="727"/>
    </row>
    <row r="86" spans="1:22" s="732" customFormat="1" ht="18" customHeight="1">
      <c r="A86" s="3124" t="s">
        <v>1531</v>
      </c>
      <c r="B86" s="3125" t="s">
        <v>1532</v>
      </c>
      <c r="C86" s="3113">
        <f t="shared" ref="C86:M87" si="74">C87</f>
        <v>0</v>
      </c>
      <c r="D86" s="3113">
        <f t="shared" si="74"/>
        <v>0</v>
      </c>
      <c r="E86" s="3113">
        <f t="shared" si="74"/>
        <v>0</v>
      </c>
      <c r="F86" s="3113">
        <f t="shared" si="74"/>
        <v>0</v>
      </c>
      <c r="G86" s="3113">
        <f t="shared" si="74"/>
        <v>0</v>
      </c>
      <c r="H86" s="3113">
        <f t="shared" si="74"/>
        <v>0</v>
      </c>
      <c r="I86" s="3113">
        <f t="shared" si="74"/>
        <v>0</v>
      </c>
      <c r="J86" s="3113">
        <f t="shared" si="74"/>
        <v>0</v>
      </c>
      <c r="K86" s="3113">
        <f t="shared" si="74"/>
        <v>0</v>
      </c>
      <c r="L86" s="3113">
        <f t="shared" si="74"/>
        <v>0</v>
      </c>
      <c r="M86" s="3114">
        <f t="shared" si="74"/>
        <v>0</v>
      </c>
      <c r="N86" s="1949"/>
      <c r="O86" s="1937" t="str">
        <f t="shared" si="61"/>
        <v xml:space="preserve"> </v>
      </c>
      <c r="P86" s="1937" t="str">
        <f t="shared" si="64"/>
        <v xml:space="preserve"> </v>
      </c>
      <c r="Q86" s="1937" t="str">
        <f t="shared" si="60"/>
        <v xml:space="preserve"> </v>
      </c>
      <c r="R86" s="1939" t="str">
        <f t="shared" si="65"/>
        <v xml:space="preserve"> </v>
      </c>
      <c r="S86" s="1939" t="str">
        <f t="shared" si="62"/>
        <v xml:space="preserve"> </v>
      </c>
      <c r="T86" s="1937" t="str">
        <f t="shared" si="66"/>
        <v xml:space="preserve"> </v>
      </c>
      <c r="U86" s="1937" t="str">
        <f t="shared" si="58"/>
        <v xml:space="preserve"> </v>
      </c>
      <c r="V86" s="731"/>
    </row>
    <row r="87" spans="1:22" s="732" customFormat="1" ht="18" customHeight="1">
      <c r="A87" s="3124" t="s">
        <v>1533</v>
      </c>
      <c r="B87" s="3125" t="s">
        <v>1534</v>
      </c>
      <c r="C87" s="3113">
        <f t="shared" si="74"/>
        <v>0</v>
      </c>
      <c r="D87" s="3113">
        <f t="shared" si="74"/>
        <v>0</v>
      </c>
      <c r="E87" s="3113">
        <f t="shared" si="74"/>
        <v>0</v>
      </c>
      <c r="F87" s="3113">
        <f t="shared" si="74"/>
        <v>0</v>
      </c>
      <c r="G87" s="3113">
        <f t="shared" si="74"/>
        <v>0</v>
      </c>
      <c r="H87" s="3113">
        <f t="shared" si="74"/>
        <v>0</v>
      </c>
      <c r="I87" s="3113">
        <f t="shared" si="74"/>
        <v>0</v>
      </c>
      <c r="J87" s="3113">
        <f t="shared" si="74"/>
        <v>0</v>
      </c>
      <c r="K87" s="3113">
        <f t="shared" si="74"/>
        <v>0</v>
      </c>
      <c r="L87" s="3113">
        <f t="shared" si="74"/>
        <v>0</v>
      </c>
      <c r="M87" s="3114">
        <f t="shared" si="74"/>
        <v>0</v>
      </c>
      <c r="N87" s="1949"/>
      <c r="O87" s="1937" t="str">
        <f t="shared" si="61"/>
        <v xml:space="preserve"> </v>
      </c>
      <c r="P87" s="1937" t="str">
        <f t="shared" si="64"/>
        <v xml:space="preserve"> </v>
      </c>
      <c r="Q87" s="1937" t="str">
        <f t="shared" si="60"/>
        <v xml:space="preserve"> </v>
      </c>
      <c r="R87" s="1939" t="str">
        <f t="shared" si="65"/>
        <v xml:space="preserve"> </v>
      </c>
      <c r="S87" s="1939" t="str">
        <f t="shared" si="62"/>
        <v xml:space="preserve"> </v>
      </c>
      <c r="T87" s="1937" t="str">
        <f t="shared" si="66"/>
        <v xml:space="preserve"> </v>
      </c>
      <c r="U87" s="1937" t="str">
        <f t="shared" si="58"/>
        <v xml:space="preserve"> </v>
      </c>
      <c r="V87" s="731"/>
    </row>
    <row r="88" spans="1:22" s="728" customFormat="1" ht="18" customHeight="1">
      <c r="A88" s="3116" t="s">
        <v>965</v>
      </c>
      <c r="B88" s="3044" t="s">
        <v>1535</v>
      </c>
      <c r="C88" s="3045"/>
      <c r="D88" s="3045"/>
      <c r="E88" s="3045"/>
      <c r="F88" s="3045"/>
      <c r="G88" s="3059">
        <f>'ANGAJ BUGETAR'!C65</f>
        <v>0</v>
      </c>
      <c r="H88" s="3058">
        <f>I88+J88</f>
        <v>0</v>
      </c>
      <c r="I88" s="3058">
        <f>'ANGAJAM LEGAL '!D65</f>
        <v>0</v>
      </c>
      <c r="J88" s="3058">
        <f>'ANGAJAM LEGAL '!E65</f>
        <v>0</v>
      </c>
      <c r="K88" s="3059">
        <f>PLATI!C65</f>
        <v>0</v>
      </c>
      <c r="L88" s="3058">
        <f>ROUND(H88-K88,1)</f>
        <v>0</v>
      </c>
      <c r="M88" s="3047"/>
      <c r="N88" s="1958" t="str">
        <f t="shared" ref="N88" si="75">IF(L88&lt;&gt;0," EROARE"," ")</f>
        <v xml:space="preserve"> </v>
      </c>
      <c r="O88" s="1938" t="str">
        <f>IF(+'CREDITE BUG'!D18&lt;&gt;'CONT EXECUTIE  '!K88," EROARE"," ")</f>
        <v xml:space="preserve"> </v>
      </c>
      <c r="P88" s="1937" t="str">
        <f t="shared" si="64"/>
        <v xml:space="preserve"> </v>
      </c>
      <c r="Q88" s="1937" t="str">
        <f t="shared" si="60"/>
        <v xml:space="preserve"> </v>
      </c>
      <c r="R88" s="1939" t="str">
        <f t="shared" si="65"/>
        <v xml:space="preserve"> </v>
      </c>
      <c r="S88" s="1939" t="str">
        <f t="shared" si="62"/>
        <v xml:space="preserve"> </v>
      </c>
      <c r="T88" s="1937" t="str">
        <f t="shared" si="66"/>
        <v xml:space="preserve"> </v>
      </c>
      <c r="U88" s="1937" t="str">
        <f t="shared" si="58"/>
        <v xml:space="preserve"> </v>
      </c>
      <c r="V88" s="727"/>
    </row>
    <row r="89" spans="1:22" s="728" customFormat="1" ht="38.25">
      <c r="A89" s="3111" t="s">
        <v>967</v>
      </c>
      <c r="B89" s="3134" t="s">
        <v>968</v>
      </c>
      <c r="C89" s="3060">
        <f t="shared" ref="C89:M89" si="76">+C90</f>
        <v>111759870</v>
      </c>
      <c r="D89" s="3060">
        <f t="shared" si="76"/>
        <v>67163420</v>
      </c>
      <c r="E89" s="3060">
        <f t="shared" si="76"/>
        <v>111759870</v>
      </c>
      <c r="F89" s="3060">
        <f t="shared" si="76"/>
        <v>67163420</v>
      </c>
      <c r="G89" s="3060">
        <f t="shared" si="76"/>
        <v>60303790</v>
      </c>
      <c r="H89" s="3060">
        <f t="shared" si="76"/>
        <v>60303790</v>
      </c>
      <c r="I89" s="3060">
        <f t="shared" si="76"/>
        <v>0</v>
      </c>
      <c r="J89" s="3060">
        <f t="shared" si="76"/>
        <v>60303790</v>
      </c>
      <c r="K89" s="3060">
        <f t="shared" si="76"/>
        <v>60303790</v>
      </c>
      <c r="L89" s="3060">
        <f t="shared" si="76"/>
        <v>0</v>
      </c>
      <c r="M89" s="3068">
        <f t="shared" si="76"/>
        <v>60303790</v>
      </c>
      <c r="N89" s="1950"/>
      <c r="O89" s="1940" t="str">
        <f>IF(+'CREDITE BUG'!D20&lt;&gt;'CONT EXECUTIE  '!K89," EROARE"," ")</f>
        <v xml:space="preserve"> </v>
      </c>
      <c r="P89" s="1937" t="str">
        <f t="shared" si="64"/>
        <v xml:space="preserve"> </v>
      </c>
      <c r="Q89" s="1937" t="str">
        <f t="shared" si="60"/>
        <v xml:space="preserve"> </v>
      </c>
      <c r="R89" s="1939" t="str">
        <f t="shared" si="65"/>
        <v xml:space="preserve"> </v>
      </c>
      <c r="S89" s="1939" t="str">
        <f t="shared" si="62"/>
        <v xml:space="preserve"> </v>
      </c>
      <c r="T89" s="1937" t="str">
        <f t="shared" si="66"/>
        <v xml:space="preserve"> </v>
      </c>
      <c r="U89" s="1937" t="str">
        <f t="shared" si="58"/>
        <v xml:space="preserve"> </v>
      </c>
      <c r="V89" s="2042"/>
    </row>
    <row r="90" spans="1:22" s="728" customFormat="1" ht="18" customHeight="1">
      <c r="A90" s="3135" t="s">
        <v>969</v>
      </c>
      <c r="B90" s="3134" t="s">
        <v>970</v>
      </c>
      <c r="C90" s="3060">
        <f>+C91+C103</f>
        <v>111759870</v>
      </c>
      <c r="D90" s="3060">
        <f t="shared" ref="D90:E90" si="77">+D91+D103</f>
        <v>67163420</v>
      </c>
      <c r="E90" s="3060">
        <f t="shared" si="77"/>
        <v>111759870</v>
      </c>
      <c r="F90" s="3060">
        <f t="shared" ref="F90" si="78">+F91+F103</f>
        <v>67163420</v>
      </c>
      <c r="G90" s="3060">
        <f t="shared" ref="G90" si="79">+G91+G103</f>
        <v>60303790</v>
      </c>
      <c r="H90" s="3060">
        <f t="shared" ref="H90" si="80">+H91+H103</f>
        <v>60303790</v>
      </c>
      <c r="I90" s="3060">
        <f t="shared" ref="I90" si="81">+I91+I103</f>
        <v>0</v>
      </c>
      <c r="J90" s="3060">
        <f t="shared" ref="J90" si="82">+J91+J103</f>
        <v>60303790</v>
      </c>
      <c r="K90" s="3060">
        <f t="shared" ref="K90" si="83">+K91+K103</f>
        <v>60303790</v>
      </c>
      <c r="L90" s="3060">
        <f t="shared" ref="L90" si="84">+L91+L103</f>
        <v>0</v>
      </c>
      <c r="M90" s="3068">
        <f t="shared" ref="M90" si="85">+M91+M103</f>
        <v>60303790</v>
      </c>
      <c r="N90" s="1950"/>
      <c r="O90" s="1941" t="str">
        <f>IF(F90&lt;K90," EROARE"," ")</f>
        <v xml:space="preserve"> </v>
      </c>
      <c r="P90" s="1937" t="str">
        <f t="shared" si="64"/>
        <v xml:space="preserve"> </v>
      </c>
      <c r="Q90" s="1937" t="str">
        <f t="shared" si="60"/>
        <v xml:space="preserve"> </v>
      </c>
      <c r="R90" s="1939" t="str">
        <f t="shared" si="65"/>
        <v xml:space="preserve"> </v>
      </c>
      <c r="S90" s="1939" t="str">
        <f t="shared" si="62"/>
        <v xml:space="preserve"> </v>
      </c>
      <c r="T90" s="1937" t="str">
        <f t="shared" si="66"/>
        <v xml:space="preserve"> </v>
      </c>
      <c r="U90" s="1937" t="str">
        <f t="shared" si="58"/>
        <v xml:space="preserve"> </v>
      </c>
      <c r="V90" s="2042"/>
    </row>
    <row r="91" spans="1:22" s="734" customFormat="1" ht="60">
      <c r="A91" s="3136" t="s">
        <v>1798</v>
      </c>
      <c r="B91" s="3134" t="s">
        <v>972</v>
      </c>
      <c r="C91" s="3060">
        <f t="shared" ref="C91:D91" si="86">C92+C93+C94+C95+C100+C101+C102+C99</f>
        <v>111759870</v>
      </c>
      <c r="D91" s="3060">
        <f t="shared" si="86"/>
        <v>67163420</v>
      </c>
      <c r="E91" s="3060">
        <f>E92+E93+E94+E95+E100+E101+E102+E99</f>
        <v>111759870</v>
      </c>
      <c r="F91" s="3060">
        <f t="shared" ref="F91:M91" si="87">F92+F93+F94+F95+F100+F101+F102+F99</f>
        <v>67163420</v>
      </c>
      <c r="G91" s="3060">
        <f t="shared" si="87"/>
        <v>60303790</v>
      </c>
      <c r="H91" s="3060">
        <f t="shared" si="87"/>
        <v>60303790</v>
      </c>
      <c r="I91" s="3060">
        <f t="shared" si="87"/>
        <v>0</v>
      </c>
      <c r="J91" s="3060">
        <f t="shared" si="87"/>
        <v>60303790</v>
      </c>
      <c r="K91" s="3060">
        <f t="shared" si="87"/>
        <v>60303790</v>
      </c>
      <c r="L91" s="3060">
        <f t="shared" si="87"/>
        <v>0</v>
      </c>
      <c r="M91" s="3068">
        <f t="shared" si="87"/>
        <v>60303790</v>
      </c>
      <c r="N91" s="1950"/>
      <c r="O91" s="1941" t="str">
        <f t="shared" ref="O91:O114" si="88">IF(F91&lt;K91," EROARE"," ")</f>
        <v xml:space="preserve"> </v>
      </c>
      <c r="P91" s="1937" t="str">
        <f t="shared" si="64"/>
        <v xml:space="preserve"> </v>
      </c>
      <c r="Q91" s="1937" t="str">
        <f t="shared" si="60"/>
        <v xml:space="preserve"> </v>
      </c>
      <c r="R91" s="1939" t="str">
        <f t="shared" si="65"/>
        <v xml:space="preserve"> </v>
      </c>
      <c r="S91" s="1939" t="str">
        <f t="shared" si="62"/>
        <v xml:space="preserve"> </v>
      </c>
      <c r="T91" s="1937" t="str">
        <f t="shared" ref="T91:T105" si="89">IF(H91&lt;K91," EROARE"," ")</f>
        <v xml:space="preserve"> </v>
      </c>
      <c r="U91" s="1937" t="str">
        <f t="shared" si="58"/>
        <v xml:space="preserve"> </v>
      </c>
      <c r="V91" s="2042"/>
    </row>
    <row r="92" spans="1:22" s="728" customFormat="1" ht="48">
      <c r="A92" s="3137" t="s">
        <v>2207</v>
      </c>
      <c r="B92" s="3138"/>
      <c r="C92" s="3053">
        <v>100350000</v>
      </c>
      <c r="D92" s="3053">
        <v>59444200</v>
      </c>
      <c r="E92" s="3053">
        <v>100350000</v>
      </c>
      <c r="F92" s="3053">
        <v>59444200</v>
      </c>
      <c r="G92" s="3175">
        <f>'ANGAJ BUGETAR'!C69</f>
        <v>53795300</v>
      </c>
      <c r="H92" s="3058">
        <f t="shared" ref="H92:H94" si="90">I92+J92</f>
        <v>53795300</v>
      </c>
      <c r="I92" s="3058">
        <f>'ANGAJAM LEGAL '!D69</f>
        <v>0</v>
      </c>
      <c r="J92" s="3058">
        <f>'ANGAJAM LEGAL '!E69</f>
        <v>53795300</v>
      </c>
      <c r="K92" s="3059">
        <f>PLATI!C69</f>
        <v>53795300</v>
      </c>
      <c r="L92" s="3058">
        <f t="shared" ref="L92" si="91">ROUND(H92-K92,1)</f>
        <v>0</v>
      </c>
      <c r="M92" s="3055">
        <v>53795300</v>
      </c>
      <c r="N92" s="1952"/>
      <c r="O92" s="1941" t="str">
        <f t="shared" si="88"/>
        <v xml:space="preserve"> </v>
      </c>
      <c r="P92" s="1937" t="str">
        <f t="shared" si="64"/>
        <v xml:space="preserve"> </v>
      </c>
      <c r="Q92" s="1937" t="str">
        <f t="shared" si="60"/>
        <v xml:space="preserve"> </v>
      </c>
      <c r="R92" s="1939" t="str">
        <f t="shared" si="65"/>
        <v xml:space="preserve"> </v>
      </c>
      <c r="S92" s="1939" t="str">
        <f t="shared" si="62"/>
        <v xml:space="preserve"> </v>
      </c>
      <c r="T92" s="1937" t="str">
        <f t="shared" si="89"/>
        <v xml:space="preserve"> </v>
      </c>
      <c r="U92" s="1937" t="str">
        <f t="shared" si="58"/>
        <v xml:space="preserve"> </v>
      </c>
      <c r="V92" s="2042"/>
    </row>
    <row r="93" spans="1:22" s="728" customFormat="1" ht="60">
      <c r="A93" s="3137" t="s">
        <v>2208</v>
      </c>
      <c r="B93" s="3139"/>
      <c r="C93" s="3053">
        <v>600000</v>
      </c>
      <c r="D93" s="3053">
        <v>361000</v>
      </c>
      <c r="E93" s="3053">
        <v>600000</v>
      </c>
      <c r="F93" s="3053">
        <v>361000</v>
      </c>
      <c r="G93" s="3175">
        <f>'ANGAJ BUGETAR'!C70</f>
        <v>248934</v>
      </c>
      <c r="H93" s="3058">
        <f t="shared" si="90"/>
        <v>248934</v>
      </c>
      <c r="I93" s="3058">
        <f>'ANGAJAM LEGAL '!D70</f>
        <v>0</v>
      </c>
      <c r="J93" s="3058">
        <f>'ANGAJAM LEGAL '!E70</f>
        <v>248934</v>
      </c>
      <c r="K93" s="3059">
        <f>PLATI!C70</f>
        <v>248934</v>
      </c>
      <c r="L93" s="3058">
        <f t="shared" ref="L93:L105" si="92">ROUND(H93-K93,1)</f>
        <v>0</v>
      </c>
      <c r="M93" s="3055">
        <v>248934</v>
      </c>
      <c r="N93" s="1952"/>
      <c r="O93" s="1941" t="str">
        <f t="shared" si="88"/>
        <v xml:space="preserve"> </v>
      </c>
      <c r="P93" s="1937" t="str">
        <f t="shared" si="64"/>
        <v xml:space="preserve"> </v>
      </c>
      <c r="Q93" s="1937" t="str">
        <f t="shared" si="60"/>
        <v xml:space="preserve"> </v>
      </c>
      <c r="R93" s="1939" t="str">
        <f t="shared" si="65"/>
        <v xml:space="preserve"> </v>
      </c>
      <c r="S93" s="1939" t="str">
        <f t="shared" si="62"/>
        <v xml:space="preserve"> </v>
      </c>
      <c r="T93" s="1937" t="str">
        <f t="shared" si="89"/>
        <v xml:space="preserve"> </v>
      </c>
      <c r="U93" s="1937" t="str">
        <f t="shared" si="58"/>
        <v xml:space="preserve"> </v>
      </c>
      <c r="V93" s="2042"/>
    </row>
    <row r="94" spans="1:22" s="1693" customFormat="1" ht="64.900000000000006" customHeight="1">
      <c r="A94" s="3201" t="s">
        <v>2209</v>
      </c>
      <c r="B94" s="3202"/>
      <c r="C94" s="3203">
        <v>260000</v>
      </c>
      <c r="D94" s="3203">
        <v>155000</v>
      </c>
      <c r="E94" s="3203">
        <v>260000</v>
      </c>
      <c r="F94" s="3203">
        <v>155000</v>
      </c>
      <c r="G94" s="3937">
        <f>'ANGAJ BUGETAR'!C71</f>
        <v>154010</v>
      </c>
      <c r="H94" s="3188">
        <f t="shared" si="90"/>
        <v>154010</v>
      </c>
      <c r="I94" s="3188">
        <f>'ANGAJAM LEGAL '!D71</f>
        <v>0</v>
      </c>
      <c r="J94" s="3188">
        <f>'ANGAJAM LEGAL '!E71</f>
        <v>154010</v>
      </c>
      <c r="K94" s="3199">
        <f>PLATI!C71</f>
        <v>154010</v>
      </c>
      <c r="L94" s="3188">
        <f t="shared" si="92"/>
        <v>0</v>
      </c>
      <c r="M94" s="3204">
        <v>154010</v>
      </c>
      <c r="N94" s="1952"/>
      <c r="O94" s="1941" t="str">
        <f t="shared" si="88"/>
        <v xml:space="preserve"> </v>
      </c>
      <c r="P94" s="1937" t="str">
        <f t="shared" si="64"/>
        <v xml:space="preserve"> </v>
      </c>
      <c r="Q94" s="1937" t="str">
        <f t="shared" si="60"/>
        <v xml:space="preserve"> </v>
      </c>
      <c r="R94" s="1939" t="str">
        <f t="shared" si="65"/>
        <v xml:space="preserve"> </v>
      </c>
      <c r="S94" s="1939" t="str">
        <f t="shared" si="62"/>
        <v xml:space="preserve"> </v>
      </c>
      <c r="T94" s="1937" t="str">
        <f t="shared" si="89"/>
        <v xml:space="preserve"> </v>
      </c>
      <c r="U94" s="1937" t="str">
        <f t="shared" si="58"/>
        <v xml:space="preserve"> </v>
      </c>
      <c r="V94" s="2042"/>
    </row>
    <row r="95" spans="1:22" s="1693" customFormat="1" ht="70.900000000000006" customHeight="1">
      <c r="A95" s="3936" t="s">
        <v>2210</v>
      </c>
      <c r="B95" s="2725"/>
      <c r="C95" s="2726">
        <f>C96+C97+C98</f>
        <v>9420000</v>
      </c>
      <c r="D95" s="2726">
        <f t="shared" ref="D95:J95" si="93">D96+D97+D98</f>
        <v>6073350</v>
      </c>
      <c r="E95" s="2726">
        <f t="shared" si="93"/>
        <v>9420000</v>
      </c>
      <c r="F95" s="2726">
        <f t="shared" si="93"/>
        <v>6073350</v>
      </c>
      <c r="G95" s="2726">
        <f t="shared" si="93"/>
        <v>4975893</v>
      </c>
      <c r="H95" s="2726">
        <f t="shared" ref="H95:H105" si="94">I95+J95</f>
        <v>4975893</v>
      </c>
      <c r="I95" s="2726">
        <f t="shared" si="93"/>
        <v>0</v>
      </c>
      <c r="J95" s="2726">
        <f t="shared" si="93"/>
        <v>4975893</v>
      </c>
      <c r="K95" s="2727">
        <f>PLATI!C72</f>
        <v>4975893</v>
      </c>
      <c r="L95" s="2726">
        <f t="shared" si="92"/>
        <v>0</v>
      </c>
      <c r="M95" s="2728">
        <f>M96+M97+M98</f>
        <v>4975893</v>
      </c>
      <c r="N95" s="1950"/>
      <c r="O95" s="1941" t="str">
        <f t="shared" si="88"/>
        <v xml:space="preserve"> </v>
      </c>
      <c r="P95" s="1937" t="str">
        <f t="shared" si="64"/>
        <v xml:space="preserve"> </v>
      </c>
      <c r="Q95" s="1937" t="str">
        <f t="shared" si="60"/>
        <v xml:space="preserve"> </v>
      </c>
      <c r="R95" s="1939" t="str">
        <f t="shared" si="65"/>
        <v xml:space="preserve"> </v>
      </c>
      <c r="S95" s="1939" t="str">
        <f t="shared" si="62"/>
        <v xml:space="preserve"> </v>
      </c>
      <c r="T95" s="1937" t="str">
        <f t="shared" si="89"/>
        <v xml:space="preserve"> </v>
      </c>
      <c r="U95" s="1937" t="str">
        <f t="shared" si="58"/>
        <v xml:space="preserve"> </v>
      </c>
      <c r="V95" s="2042"/>
    </row>
    <row r="96" spans="1:22" s="1693" customFormat="1" ht="112.5">
      <c r="A96" s="3140" t="s">
        <v>2211</v>
      </c>
      <c r="B96" s="3139"/>
      <c r="C96" s="3053">
        <v>3780000</v>
      </c>
      <c r="D96" s="3053">
        <v>2250000</v>
      </c>
      <c r="E96" s="3053">
        <v>3780000</v>
      </c>
      <c r="F96" s="3053">
        <v>2250000</v>
      </c>
      <c r="G96" s="3175">
        <f>'ANGAJ BUGETAR'!C73</f>
        <v>1531404</v>
      </c>
      <c r="H96" s="3058">
        <f t="shared" si="94"/>
        <v>1531404</v>
      </c>
      <c r="I96" s="3058">
        <f>'ANGAJAM LEGAL '!D73</f>
        <v>0</v>
      </c>
      <c r="J96" s="3058">
        <f>'ANGAJAM LEGAL '!E73</f>
        <v>1531404</v>
      </c>
      <c r="K96" s="3059">
        <f>PLATI!C73</f>
        <v>1531404</v>
      </c>
      <c r="L96" s="3058">
        <f t="shared" si="92"/>
        <v>0</v>
      </c>
      <c r="M96" s="3055">
        <v>1531404</v>
      </c>
      <c r="N96" s="1952"/>
      <c r="O96" s="1941" t="str">
        <f t="shared" si="88"/>
        <v xml:space="preserve"> </v>
      </c>
      <c r="P96" s="1937" t="str">
        <f t="shared" si="64"/>
        <v xml:space="preserve"> </v>
      </c>
      <c r="Q96" s="1937" t="str">
        <f t="shared" si="60"/>
        <v xml:space="preserve"> </v>
      </c>
      <c r="R96" s="1939" t="str">
        <f t="shared" si="65"/>
        <v xml:space="preserve"> </v>
      </c>
      <c r="S96" s="1939" t="str">
        <f t="shared" si="62"/>
        <v xml:space="preserve"> </v>
      </c>
      <c r="T96" s="1937" t="str">
        <f t="shared" si="89"/>
        <v xml:space="preserve"> </v>
      </c>
      <c r="U96" s="1937" t="str">
        <f t="shared" si="58"/>
        <v xml:space="preserve"> </v>
      </c>
      <c r="V96" s="2042"/>
    </row>
    <row r="97" spans="1:22" s="1693" customFormat="1" ht="101.25">
      <c r="A97" s="3141" t="s">
        <v>2212</v>
      </c>
      <c r="B97" s="3064"/>
      <c r="C97" s="3053">
        <v>3170000</v>
      </c>
      <c r="D97" s="3053">
        <v>1900000</v>
      </c>
      <c r="E97" s="3053">
        <v>3170000</v>
      </c>
      <c r="F97" s="3053">
        <v>1900000</v>
      </c>
      <c r="G97" s="3175">
        <f>'ANGAJ BUGETAR'!C74</f>
        <v>1521156</v>
      </c>
      <c r="H97" s="3058">
        <f t="shared" si="94"/>
        <v>1521156</v>
      </c>
      <c r="I97" s="3058">
        <f>'ANGAJAM LEGAL '!D74</f>
        <v>0</v>
      </c>
      <c r="J97" s="3058">
        <f>'ANGAJAM LEGAL '!E74</f>
        <v>1521156</v>
      </c>
      <c r="K97" s="3059">
        <f>PLATI!C74</f>
        <v>1521156</v>
      </c>
      <c r="L97" s="3058">
        <f t="shared" si="92"/>
        <v>0</v>
      </c>
      <c r="M97" s="3055">
        <v>1521156</v>
      </c>
      <c r="N97" s="1952"/>
      <c r="O97" s="1941" t="str">
        <f t="shared" si="88"/>
        <v xml:space="preserve"> </v>
      </c>
      <c r="P97" s="1937" t="str">
        <f t="shared" si="64"/>
        <v xml:space="preserve"> </v>
      </c>
      <c r="Q97" s="1937" t="str">
        <f t="shared" si="60"/>
        <v xml:space="preserve"> </v>
      </c>
      <c r="R97" s="1939" t="str">
        <f t="shared" si="65"/>
        <v xml:space="preserve"> </v>
      </c>
      <c r="S97" s="1939" t="str">
        <f t="shared" si="62"/>
        <v xml:space="preserve"> </v>
      </c>
      <c r="T97" s="1937" t="str">
        <f t="shared" si="89"/>
        <v xml:space="preserve"> </v>
      </c>
      <c r="U97" s="1937" t="str">
        <f t="shared" si="58"/>
        <v xml:space="preserve"> </v>
      </c>
      <c r="V97" s="2042"/>
    </row>
    <row r="98" spans="1:22" s="1693" customFormat="1" ht="78.75">
      <c r="A98" s="3141" t="s">
        <v>2420</v>
      </c>
      <c r="B98" s="3064"/>
      <c r="C98" s="3053">
        <v>2470000</v>
      </c>
      <c r="D98" s="3053">
        <v>1923350</v>
      </c>
      <c r="E98" s="3053">
        <v>2470000</v>
      </c>
      <c r="F98" s="3053">
        <v>1923350</v>
      </c>
      <c r="G98" s="3175">
        <f>'ANGAJ BUGETAR'!C75</f>
        <v>1923333</v>
      </c>
      <c r="H98" s="3058">
        <f t="shared" si="94"/>
        <v>1923333</v>
      </c>
      <c r="I98" s="3058">
        <f>'ANGAJAM LEGAL '!D75</f>
        <v>0</v>
      </c>
      <c r="J98" s="3058">
        <f>'ANGAJAM LEGAL '!E75</f>
        <v>1923333</v>
      </c>
      <c r="K98" s="3059">
        <f>PLATI!C75</f>
        <v>1923333</v>
      </c>
      <c r="L98" s="3058">
        <f t="shared" si="92"/>
        <v>0</v>
      </c>
      <c r="M98" s="3055">
        <v>1923333</v>
      </c>
      <c r="N98" s="1952"/>
      <c r="O98" s="1941" t="str">
        <f t="shared" si="88"/>
        <v xml:space="preserve"> </v>
      </c>
      <c r="P98" s="1937" t="str">
        <f t="shared" si="64"/>
        <v xml:space="preserve"> </v>
      </c>
      <c r="Q98" s="1937" t="str">
        <f t="shared" si="60"/>
        <v xml:space="preserve"> </v>
      </c>
      <c r="R98" s="1939" t="str">
        <f t="shared" si="65"/>
        <v xml:space="preserve"> </v>
      </c>
      <c r="S98" s="1939" t="str">
        <f t="shared" si="62"/>
        <v xml:space="preserve"> </v>
      </c>
      <c r="T98" s="1937" t="str">
        <f t="shared" si="89"/>
        <v xml:space="preserve"> </v>
      </c>
      <c r="U98" s="1937" t="str">
        <f t="shared" si="58"/>
        <v xml:space="preserve"> </v>
      </c>
      <c r="V98" s="2042"/>
    </row>
    <row r="99" spans="1:22" s="1693" customFormat="1" ht="157.5">
      <c r="A99" s="3141" t="s">
        <v>2573</v>
      </c>
      <c r="B99" s="3064"/>
      <c r="C99" s="3053">
        <v>1129870</v>
      </c>
      <c r="D99" s="3053">
        <v>1129870</v>
      </c>
      <c r="E99" s="3053">
        <v>1129870</v>
      </c>
      <c r="F99" s="3053">
        <v>1129870</v>
      </c>
      <c r="G99" s="3175">
        <f>'ANGAJ BUGETAR'!C76</f>
        <v>1129653</v>
      </c>
      <c r="H99" s="3058">
        <f t="shared" si="94"/>
        <v>1129653</v>
      </c>
      <c r="I99" s="3058">
        <f>'ANGAJAM LEGAL '!D76</f>
        <v>0</v>
      </c>
      <c r="J99" s="3058">
        <f>'ANGAJAM LEGAL '!E76</f>
        <v>1129653</v>
      </c>
      <c r="K99" s="3059">
        <f>PLATI!C76</f>
        <v>1129653</v>
      </c>
      <c r="L99" s="3058">
        <f t="shared" si="92"/>
        <v>0</v>
      </c>
      <c r="M99" s="3055">
        <v>1129653</v>
      </c>
      <c r="N99" s="1952"/>
      <c r="O99" s="1941"/>
      <c r="P99" s="1937"/>
      <c r="Q99" s="1937"/>
      <c r="R99" s="1939"/>
      <c r="S99" s="1939"/>
      <c r="T99" s="1937"/>
      <c r="U99" s="1937"/>
      <c r="V99" s="2042"/>
    </row>
    <row r="100" spans="1:22" s="1693" customFormat="1" ht="56.25">
      <c r="A100" s="3141" t="s">
        <v>2213</v>
      </c>
      <c r="B100" s="3064"/>
      <c r="C100" s="3053"/>
      <c r="D100" s="3053"/>
      <c r="E100" s="3053"/>
      <c r="F100" s="3053"/>
      <c r="G100" s="3175">
        <f>'ANGAJ BUGETAR'!C77</f>
        <v>0</v>
      </c>
      <c r="H100" s="3058">
        <f t="shared" si="94"/>
        <v>0</v>
      </c>
      <c r="I100" s="3058">
        <f>'ANGAJAM LEGAL '!D77</f>
        <v>0</v>
      </c>
      <c r="J100" s="3058">
        <f>'ANGAJAM LEGAL '!E77</f>
        <v>0</v>
      </c>
      <c r="K100" s="3059">
        <f>PLATI!C77</f>
        <v>0</v>
      </c>
      <c r="L100" s="3058">
        <f t="shared" si="92"/>
        <v>0</v>
      </c>
      <c r="M100" s="3055"/>
      <c r="N100" s="1952"/>
      <c r="O100" s="1941" t="str">
        <f t="shared" si="88"/>
        <v xml:space="preserve"> </v>
      </c>
      <c r="P100" s="1937" t="str">
        <f t="shared" si="64"/>
        <v xml:space="preserve"> </v>
      </c>
      <c r="Q100" s="1937" t="str">
        <f t="shared" si="60"/>
        <v xml:space="preserve"> </v>
      </c>
      <c r="R100" s="1939" t="str">
        <f t="shared" si="65"/>
        <v xml:space="preserve"> </v>
      </c>
      <c r="S100" s="1939" t="str">
        <f t="shared" si="62"/>
        <v xml:space="preserve"> </v>
      </c>
      <c r="T100" s="1937" t="str">
        <f t="shared" si="89"/>
        <v xml:space="preserve"> </v>
      </c>
      <c r="U100" s="1937" t="str">
        <f t="shared" si="58"/>
        <v xml:space="preserve"> </v>
      </c>
      <c r="V100" s="2042"/>
    </row>
    <row r="101" spans="1:22" s="1693" customFormat="1" ht="60">
      <c r="A101" s="3142" t="s">
        <v>2214</v>
      </c>
      <c r="B101" s="3064"/>
      <c r="C101" s="3053"/>
      <c r="D101" s="3053"/>
      <c r="E101" s="3053"/>
      <c r="F101" s="3053"/>
      <c r="G101" s="3175">
        <f>'ANGAJ BUGETAR'!C78</f>
        <v>0</v>
      </c>
      <c r="H101" s="3058">
        <f t="shared" si="94"/>
        <v>0</v>
      </c>
      <c r="I101" s="3058">
        <f>'ANGAJAM LEGAL '!D78</f>
        <v>0</v>
      </c>
      <c r="J101" s="3058">
        <f>'ANGAJAM LEGAL '!E78</f>
        <v>0</v>
      </c>
      <c r="K101" s="3059">
        <f>PLATI!C78</f>
        <v>0</v>
      </c>
      <c r="L101" s="3058">
        <f t="shared" si="92"/>
        <v>0</v>
      </c>
      <c r="M101" s="3055"/>
      <c r="N101" s="1952"/>
      <c r="O101" s="1941" t="str">
        <f t="shared" si="88"/>
        <v xml:space="preserve"> </v>
      </c>
      <c r="P101" s="1937" t="str">
        <f t="shared" si="64"/>
        <v xml:space="preserve"> </v>
      </c>
      <c r="Q101" s="1937" t="str">
        <f t="shared" si="60"/>
        <v xml:space="preserve"> </v>
      </c>
      <c r="R101" s="1939" t="str">
        <f t="shared" si="65"/>
        <v xml:space="preserve"> </v>
      </c>
      <c r="S101" s="1939" t="str">
        <f t="shared" si="62"/>
        <v xml:space="preserve"> </v>
      </c>
      <c r="T101" s="1937" t="str">
        <f t="shared" si="89"/>
        <v xml:space="preserve"> </v>
      </c>
      <c r="U101" s="1937" t="str">
        <f t="shared" si="58"/>
        <v xml:space="preserve"> </v>
      </c>
      <c r="V101" s="2042"/>
    </row>
    <row r="102" spans="1:22" s="1693" customFormat="1" ht="45">
      <c r="A102" s="3394" t="s">
        <v>2329</v>
      </c>
      <c r="B102" s="3064"/>
      <c r="C102" s="3053"/>
      <c r="D102" s="3053"/>
      <c r="E102" s="3053"/>
      <c r="F102" s="3053"/>
      <c r="G102" s="3175">
        <f>'ANGAJ BUGETAR'!C79</f>
        <v>0</v>
      </c>
      <c r="H102" s="3058">
        <f t="shared" si="94"/>
        <v>0</v>
      </c>
      <c r="I102" s="3058">
        <f>'ANGAJAM LEGAL '!D79</f>
        <v>0</v>
      </c>
      <c r="J102" s="3058">
        <f>'ANGAJAM LEGAL '!E79</f>
        <v>0</v>
      </c>
      <c r="K102" s="3059">
        <f>PLATI!C79</f>
        <v>0</v>
      </c>
      <c r="L102" s="3058">
        <f t="shared" si="92"/>
        <v>0</v>
      </c>
      <c r="M102" s="3055"/>
      <c r="N102" s="1952"/>
      <c r="O102" s="1941"/>
      <c r="P102" s="1937" t="str">
        <f t="shared" si="64"/>
        <v xml:space="preserve"> </v>
      </c>
      <c r="Q102" s="1937" t="str">
        <f t="shared" si="60"/>
        <v xml:space="preserve"> </v>
      </c>
      <c r="R102" s="1939" t="str">
        <f t="shared" si="65"/>
        <v xml:space="preserve"> </v>
      </c>
      <c r="S102" s="1939" t="str">
        <f t="shared" si="62"/>
        <v xml:space="preserve"> </v>
      </c>
      <c r="T102" s="1937"/>
      <c r="U102" s="1937" t="str">
        <f t="shared" si="58"/>
        <v xml:space="preserve"> </v>
      </c>
      <c r="V102" s="2042"/>
    </row>
    <row r="103" spans="1:22" s="1694" customFormat="1" ht="24">
      <c r="A103" s="3143" t="s">
        <v>2215</v>
      </c>
      <c r="B103" s="3144" t="s">
        <v>2172</v>
      </c>
      <c r="C103" s="3060">
        <f t="shared" ref="C103:L103" si="95">C104+C105</f>
        <v>0</v>
      </c>
      <c r="D103" s="3060">
        <f t="shared" si="95"/>
        <v>0</v>
      </c>
      <c r="E103" s="3060">
        <f t="shared" si="95"/>
        <v>0</v>
      </c>
      <c r="F103" s="3060">
        <f t="shared" si="95"/>
        <v>0</v>
      </c>
      <c r="G103" s="3060">
        <f t="shared" si="95"/>
        <v>0</v>
      </c>
      <c r="H103" s="3060">
        <f t="shared" si="95"/>
        <v>0</v>
      </c>
      <c r="I103" s="3060">
        <f t="shared" si="95"/>
        <v>0</v>
      </c>
      <c r="J103" s="3060">
        <f t="shared" si="95"/>
        <v>0</v>
      </c>
      <c r="K103" s="3060">
        <f t="shared" si="95"/>
        <v>0</v>
      </c>
      <c r="L103" s="3060">
        <f t="shared" si="95"/>
        <v>0</v>
      </c>
      <c r="M103" s="3068">
        <f>M104+M105</f>
        <v>0</v>
      </c>
      <c r="N103" s="1950"/>
      <c r="O103" s="1941" t="str">
        <f t="shared" si="88"/>
        <v xml:space="preserve"> </v>
      </c>
      <c r="P103" s="1937" t="str">
        <f t="shared" si="64"/>
        <v xml:space="preserve"> </v>
      </c>
      <c r="Q103" s="1937" t="str">
        <f t="shared" si="60"/>
        <v xml:space="preserve"> </v>
      </c>
      <c r="R103" s="1939" t="str">
        <f t="shared" si="65"/>
        <v xml:space="preserve"> </v>
      </c>
      <c r="S103" s="1939" t="str">
        <f t="shared" si="62"/>
        <v xml:space="preserve"> </v>
      </c>
      <c r="T103" s="1937" t="str">
        <f t="shared" si="89"/>
        <v xml:space="preserve"> </v>
      </c>
      <c r="U103" s="1937" t="str">
        <f t="shared" si="58"/>
        <v xml:space="preserve"> </v>
      </c>
      <c r="V103" s="2042"/>
    </row>
    <row r="104" spans="1:22" s="1694" customFormat="1" ht="48">
      <c r="A104" s="3142" t="s">
        <v>2216</v>
      </c>
      <c r="B104" s="3145"/>
      <c r="C104" s="3117"/>
      <c r="D104" s="3117"/>
      <c r="E104" s="3117"/>
      <c r="F104" s="3117"/>
      <c r="G104" s="3175">
        <f>'ANGAJ BUGETAR'!C81</f>
        <v>0</v>
      </c>
      <c r="H104" s="3058">
        <f t="shared" si="94"/>
        <v>0</v>
      </c>
      <c r="I104" s="3058">
        <f>'ANGAJAM LEGAL '!D81</f>
        <v>0</v>
      </c>
      <c r="J104" s="3058">
        <f>'ANGAJAM LEGAL '!E81</f>
        <v>0</v>
      </c>
      <c r="K104" s="3059">
        <f>PLATI!C81</f>
        <v>0</v>
      </c>
      <c r="L104" s="3058">
        <f t="shared" si="92"/>
        <v>0</v>
      </c>
      <c r="M104" s="3055"/>
      <c r="N104" s="1952"/>
      <c r="O104" s="1941" t="str">
        <f t="shared" si="88"/>
        <v xml:space="preserve"> </v>
      </c>
      <c r="P104" s="1937" t="str">
        <f t="shared" si="64"/>
        <v xml:space="preserve"> </v>
      </c>
      <c r="Q104" s="1937" t="str">
        <f t="shared" si="60"/>
        <v xml:space="preserve"> </v>
      </c>
      <c r="R104" s="1939" t="str">
        <f t="shared" si="65"/>
        <v xml:space="preserve"> </v>
      </c>
      <c r="S104" s="1939" t="str">
        <f t="shared" si="62"/>
        <v xml:space="preserve"> </v>
      </c>
      <c r="T104" s="1937" t="str">
        <f t="shared" si="89"/>
        <v xml:space="preserve"> </v>
      </c>
      <c r="U104" s="1937" t="str">
        <f t="shared" si="58"/>
        <v xml:space="preserve"> </v>
      </c>
      <c r="V104" s="2042"/>
    </row>
    <row r="105" spans="1:22" s="1694" customFormat="1" ht="36">
      <c r="A105" s="3142" t="s">
        <v>2217</v>
      </c>
      <c r="B105" s="3145"/>
      <c r="C105" s="3053"/>
      <c r="D105" s="3053"/>
      <c r="E105" s="3053"/>
      <c r="F105" s="3053"/>
      <c r="G105" s="3175">
        <f>'ANGAJ BUGETAR'!C82</f>
        <v>0</v>
      </c>
      <c r="H105" s="3058">
        <f t="shared" si="94"/>
        <v>0</v>
      </c>
      <c r="I105" s="3058">
        <f>'ANGAJAM LEGAL '!D82</f>
        <v>0</v>
      </c>
      <c r="J105" s="3058">
        <f>'ANGAJAM LEGAL '!E82</f>
        <v>0</v>
      </c>
      <c r="K105" s="3059">
        <f>PLATI!C82</f>
        <v>0</v>
      </c>
      <c r="L105" s="3058">
        <f t="shared" si="92"/>
        <v>0</v>
      </c>
      <c r="M105" s="3055"/>
      <c r="N105" s="1952"/>
      <c r="O105" s="1941" t="str">
        <f t="shared" si="88"/>
        <v xml:space="preserve"> </v>
      </c>
      <c r="P105" s="1937" t="str">
        <f t="shared" si="64"/>
        <v xml:space="preserve"> </v>
      </c>
      <c r="Q105" s="1937" t="str">
        <f t="shared" si="60"/>
        <v xml:space="preserve"> </v>
      </c>
      <c r="R105" s="1939" t="str">
        <f t="shared" si="65"/>
        <v xml:space="preserve"> </v>
      </c>
      <c r="S105" s="1939" t="str">
        <f t="shared" si="62"/>
        <v xml:space="preserve"> </v>
      </c>
      <c r="T105" s="1937" t="str">
        <f t="shared" si="89"/>
        <v xml:space="preserve"> </v>
      </c>
      <c r="U105" s="1937" t="str">
        <f t="shared" si="58"/>
        <v xml:space="preserve"> </v>
      </c>
      <c r="V105" s="2042"/>
    </row>
    <row r="106" spans="1:22" s="728" customFormat="1" ht="51">
      <c r="A106" s="3124" t="s">
        <v>973</v>
      </c>
      <c r="B106" s="3125" t="s">
        <v>974</v>
      </c>
      <c r="C106" s="3113">
        <f>C107+C111+C115</f>
        <v>0</v>
      </c>
      <c r="D106" s="3113">
        <f t="shared" ref="D106:M106" si="96">D107+D111+D115</f>
        <v>0</v>
      </c>
      <c r="E106" s="3113">
        <f t="shared" si="96"/>
        <v>0</v>
      </c>
      <c r="F106" s="3113">
        <f t="shared" si="96"/>
        <v>0</v>
      </c>
      <c r="G106" s="3113">
        <f t="shared" si="96"/>
        <v>0</v>
      </c>
      <c r="H106" s="3113">
        <f t="shared" si="96"/>
        <v>0</v>
      </c>
      <c r="I106" s="3113">
        <f t="shared" si="96"/>
        <v>0</v>
      </c>
      <c r="J106" s="3113">
        <f t="shared" si="96"/>
        <v>0</v>
      </c>
      <c r="K106" s="3113">
        <f t="shared" si="96"/>
        <v>0</v>
      </c>
      <c r="L106" s="3113">
        <f t="shared" si="96"/>
        <v>0</v>
      </c>
      <c r="M106" s="3114">
        <f t="shared" si="96"/>
        <v>0</v>
      </c>
      <c r="N106" s="1949"/>
      <c r="O106" s="1941" t="str">
        <f t="shared" si="88"/>
        <v xml:space="preserve"> </v>
      </c>
      <c r="P106" s="1937" t="str">
        <f t="shared" si="64"/>
        <v xml:space="preserve"> </v>
      </c>
      <c r="Q106" s="1937" t="str">
        <f t="shared" si="60"/>
        <v xml:space="preserve"> </v>
      </c>
      <c r="R106" s="1939" t="str">
        <f t="shared" si="65"/>
        <v xml:space="preserve"> </v>
      </c>
      <c r="S106" s="1939" t="str">
        <f t="shared" si="62"/>
        <v xml:space="preserve"> </v>
      </c>
      <c r="T106" s="1937" t="str">
        <f t="shared" si="66"/>
        <v xml:space="preserve"> </v>
      </c>
      <c r="U106" s="1937" t="str">
        <f t="shared" si="58"/>
        <v xml:space="preserve"> </v>
      </c>
      <c r="V106" s="727"/>
    </row>
    <row r="107" spans="1:22" s="728" customFormat="1" ht="33.6" customHeight="1">
      <c r="A107" s="3124" t="s">
        <v>2108</v>
      </c>
      <c r="B107" s="3125" t="s">
        <v>2109</v>
      </c>
      <c r="C107" s="3113">
        <f>C108+C109+C110</f>
        <v>0</v>
      </c>
      <c r="D107" s="3113">
        <f t="shared" ref="D107:G107" si="97">D108+D109+D110</f>
        <v>0</v>
      </c>
      <c r="E107" s="3113">
        <f t="shared" si="97"/>
        <v>0</v>
      </c>
      <c r="F107" s="3113">
        <f t="shared" si="97"/>
        <v>0</v>
      </c>
      <c r="G107" s="3113">
        <f t="shared" si="97"/>
        <v>0</v>
      </c>
      <c r="H107" s="3113">
        <f t="shared" ref="H107" si="98">H108+H109+H110</f>
        <v>0</v>
      </c>
      <c r="I107" s="3113">
        <f t="shared" ref="I107" si="99">I108+I109+I110</f>
        <v>0</v>
      </c>
      <c r="J107" s="3113">
        <f t="shared" ref="J107:K107" si="100">J108+J109+J110</f>
        <v>0</v>
      </c>
      <c r="K107" s="3113">
        <f t="shared" si="100"/>
        <v>0</v>
      </c>
      <c r="L107" s="3113">
        <f t="shared" ref="L107" si="101">L108+L109+L110</f>
        <v>0</v>
      </c>
      <c r="M107" s="3114">
        <f>M108+M109+M110</f>
        <v>0</v>
      </c>
      <c r="N107" s="1949"/>
      <c r="O107" s="1941" t="str">
        <f t="shared" si="88"/>
        <v xml:space="preserve"> </v>
      </c>
      <c r="P107" s="1937" t="str">
        <f t="shared" si="64"/>
        <v xml:space="preserve"> </v>
      </c>
      <c r="Q107" s="1937" t="str">
        <f t="shared" si="60"/>
        <v xml:space="preserve"> </v>
      </c>
      <c r="R107" s="1939" t="str">
        <f t="shared" si="65"/>
        <v xml:space="preserve"> </v>
      </c>
      <c r="S107" s="1939" t="str">
        <f t="shared" si="62"/>
        <v xml:space="preserve"> </v>
      </c>
      <c r="T107" s="1937" t="str">
        <f t="shared" si="66"/>
        <v xml:space="preserve"> </v>
      </c>
      <c r="U107" s="1937" t="str">
        <f t="shared" si="58"/>
        <v xml:space="preserve"> </v>
      </c>
      <c r="V107" s="727"/>
    </row>
    <row r="108" spans="1:22" s="728" customFormat="1">
      <c r="A108" s="3196" t="s">
        <v>975</v>
      </c>
      <c r="B108" s="3205" t="s">
        <v>2110</v>
      </c>
      <c r="C108" s="3197"/>
      <c r="D108" s="3197"/>
      <c r="E108" s="3197"/>
      <c r="F108" s="3198"/>
      <c r="G108" s="3199">
        <f>'ANGAJ BUGETAR'!C85</f>
        <v>0</v>
      </c>
      <c r="H108" s="3188">
        <f>+I108+J108</f>
        <v>0</v>
      </c>
      <c r="I108" s="3188">
        <f>'ANGAJAM LEGAL '!D85</f>
        <v>0</v>
      </c>
      <c r="J108" s="3188">
        <f>'ANGAJAM LEGAL '!E85</f>
        <v>0</v>
      </c>
      <c r="K108" s="3199">
        <f>PLATI!C85</f>
        <v>0</v>
      </c>
      <c r="L108" s="3188">
        <f>+H108-K108</f>
        <v>0</v>
      </c>
      <c r="M108" s="3200"/>
      <c r="N108" s="1675"/>
      <c r="O108" s="1941" t="str">
        <f t="shared" si="88"/>
        <v xml:space="preserve"> </v>
      </c>
      <c r="P108" s="1937" t="str">
        <f t="shared" si="64"/>
        <v xml:space="preserve"> </v>
      </c>
      <c r="Q108" s="1937" t="str">
        <f t="shared" si="60"/>
        <v xml:space="preserve"> </v>
      </c>
      <c r="R108" s="1939" t="str">
        <f t="shared" si="65"/>
        <v xml:space="preserve"> </v>
      </c>
      <c r="S108" s="1939" t="str">
        <f t="shared" si="62"/>
        <v xml:space="preserve"> </v>
      </c>
      <c r="T108" s="1937" t="str">
        <f t="shared" si="66"/>
        <v xml:space="preserve"> </v>
      </c>
      <c r="U108" s="1937" t="str">
        <f t="shared" si="58"/>
        <v xml:space="preserve"> </v>
      </c>
      <c r="V108" s="727"/>
    </row>
    <row r="109" spans="1:22" s="728" customFormat="1" ht="24" customHeight="1">
      <c r="A109" s="3948" t="s">
        <v>976</v>
      </c>
      <c r="B109" s="3900" t="s">
        <v>2111</v>
      </c>
      <c r="C109" s="3913"/>
      <c r="D109" s="3913"/>
      <c r="E109" s="3913"/>
      <c r="F109" s="3943"/>
      <c r="G109" s="3944">
        <f>'ANGAJ BUGETAR'!C86</f>
        <v>0</v>
      </c>
      <c r="H109" s="3945">
        <f>+I109+J109</f>
        <v>0</v>
      </c>
      <c r="I109" s="3945">
        <f>'ANGAJAM LEGAL '!D86</f>
        <v>0</v>
      </c>
      <c r="J109" s="3945">
        <f>'ANGAJAM LEGAL '!E86</f>
        <v>0</v>
      </c>
      <c r="K109" s="3944">
        <f>PLATI!C86</f>
        <v>0</v>
      </c>
      <c r="L109" s="3945">
        <f>+H109-K109</f>
        <v>0</v>
      </c>
      <c r="M109" s="3914"/>
      <c r="N109" s="1675"/>
      <c r="O109" s="1941" t="str">
        <f t="shared" si="88"/>
        <v xml:space="preserve"> </v>
      </c>
      <c r="P109" s="1937" t="str">
        <f t="shared" si="64"/>
        <v xml:space="preserve"> </v>
      </c>
      <c r="Q109" s="1937" t="str">
        <f t="shared" si="60"/>
        <v xml:space="preserve"> </v>
      </c>
      <c r="R109" s="1939" t="str">
        <f t="shared" si="65"/>
        <v xml:space="preserve"> </v>
      </c>
      <c r="S109" s="1939" t="str">
        <f t="shared" si="62"/>
        <v xml:space="preserve"> </v>
      </c>
      <c r="T109" s="1937" t="str">
        <f t="shared" si="66"/>
        <v xml:space="preserve"> </v>
      </c>
      <c r="U109" s="1937" t="str">
        <f t="shared" si="58"/>
        <v xml:space="preserve"> </v>
      </c>
      <c r="V109" s="727"/>
    </row>
    <row r="110" spans="1:22" s="728" customFormat="1" ht="24" customHeight="1">
      <c r="A110" s="3116" t="s">
        <v>1860</v>
      </c>
      <c r="B110" s="3062" t="s">
        <v>2174</v>
      </c>
      <c r="C110" s="3045"/>
      <c r="D110" s="3045"/>
      <c r="E110" s="3045"/>
      <c r="F110" s="3046"/>
      <c r="G110" s="3059">
        <f>'ANGAJ BUGETAR'!C87</f>
        <v>0</v>
      </c>
      <c r="H110" s="3058">
        <f>+I110+J110</f>
        <v>0</v>
      </c>
      <c r="I110" s="3058">
        <f>'ANGAJAM LEGAL '!D87</f>
        <v>0</v>
      </c>
      <c r="J110" s="3058">
        <f>'ANGAJAM LEGAL '!E87</f>
        <v>0</v>
      </c>
      <c r="K110" s="3059">
        <f>PLATI!C87</f>
        <v>0</v>
      </c>
      <c r="L110" s="3058">
        <f>+H110-K110</f>
        <v>0</v>
      </c>
      <c r="M110" s="3047"/>
      <c r="N110" s="1675"/>
      <c r="O110" s="1941" t="str">
        <f t="shared" si="88"/>
        <v xml:space="preserve"> </v>
      </c>
      <c r="P110" s="1937" t="str">
        <f t="shared" si="64"/>
        <v xml:space="preserve"> </v>
      </c>
      <c r="Q110" s="1937" t="str">
        <f t="shared" si="60"/>
        <v xml:space="preserve"> </v>
      </c>
      <c r="R110" s="1939" t="str">
        <f t="shared" si="65"/>
        <v xml:space="preserve"> </v>
      </c>
      <c r="S110" s="1939" t="str">
        <f t="shared" si="62"/>
        <v xml:space="preserve"> </v>
      </c>
      <c r="T110" s="1937" t="str">
        <f t="shared" si="66"/>
        <v xml:space="preserve"> </v>
      </c>
      <c r="U110" s="1937" t="str">
        <f t="shared" si="58"/>
        <v xml:space="preserve"> </v>
      </c>
      <c r="V110" s="727"/>
    </row>
    <row r="111" spans="1:22" s="728" customFormat="1" ht="25.5" hidden="1">
      <c r="A111" s="3124" t="s">
        <v>977</v>
      </c>
      <c r="B111" s="3125" t="s">
        <v>978</v>
      </c>
      <c r="C111" s="3113">
        <f t="shared" ref="C111:M111" si="102">C112+C113+C114</f>
        <v>0</v>
      </c>
      <c r="D111" s="3113">
        <f>D112+D113+D114</f>
        <v>0</v>
      </c>
      <c r="E111" s="3113">
        <f t="shared" si="102"/>
        <v>0</v>
      </c>
      <c r="F111" s="3113">
        <f t="shared" si="102"/>
        <v>0</v>
      </c>
      <c r="G111" s="3113">
        <f t="shared" si="102"/>
        <v>0</v>
      </c>
      <c r="H111" s="3113">
        <f t="shared" si="102"/>
        <v>0</v>
      </c>
      <c r="I111" s="3113">
        <f t="shared" si="102"/>
        <v>0</v>
      </c>
      <c r="J111" s="3113">
        <f t="shared" si="102"/>
        <v>0</v>
      </c>
      <c r="K111" s="3113">
        <f t="shared" si="102"/>
        <v>0</v>
      </c>
      <c r="L111" s="3113">
        <f t="shared" si="102"/>
        <v>0</v>
      </c>
      <c r="M111" s="3114">
        <f t="shared" si="102"/>
        <v>0</v>
      </c>
      <c r="N111" s="1949"/>
      <c r="O111" s="1941" t="str">
        <f t="shared" si="88"/>
        <v xml:space="preserve"> </v>
      </c>
      <c r="P111" s="1937" t="str">
        <f t="shared" si="64"/>
        <v xml:space="preserve"> </v>
      </c>
      <c r="Q111" s="1937" t="str">
        <f t="shared" si="60"/>
        <v xml:space="preserve"> </v>
      </c>
      <c r="R111" s="1939" t="str">
        <f t="shared" si="65"/>
        <v xml:space="preserve"> </v>
      </c>
      <c r="S111" s="1939" t="str">
        <f t="shared" si="62"/>
        <v xml:space="preserve"> </v>
      </c>
      <c r="T111" s="1937" t="str">
        <f t="shared" si="66"/>
        <v xml:space="preserve"> </v>
      </c>
      <c r="U111" s="1937" t="str">
        <f t="shared" si="58"/>
        <v xml:space="preserve"> </v>
      </c>
      <c r="V111" s="727"/>
    </row>
    <row r="112" spans="1:22" s="728" customFormat="1" ht="18" hidden="1" customHeight="1">
      <c r="A112" s="3116" t="s">
        <v>975</v>
      </c>
      <c r="B112" s="3062" t="s">
        <v>979</v>
      </c>
      <c r="C112" s="3045"/>
      <c r="D112" s="3045"/>
      <c r="E112" s="3045"/>
      <c r="F112" s="3046"/>
      <c r="G112" s="3059"/>
      <c r="H112" s="3058">
        <f>+I112+J112</f>
        <v>0</v>
      </c>
      <c r="I112" s="3058"/>
      <c r="J112" s="3058"/>
      <c r="K112" s="3059">
        <f>PLATI!C89</f>
        <v>0</v>
      </c>
      <c r="L112" s="3058">
        <f>+H112-K112</f>
        <v>0</v>
      </c>
      <c r="M112" s="3047"/>
      <c r="N112" s="1675"/>
      <c r="O112" s="1941" t="str">
        <f t="shared" si="88"/>
        <v xml:space="preserve"> </v>
      </c>
      <c r="P112" s="1937" t="str">
        <f t="shared" si="64"/>
        <v xml:space="preserve"> </v>
      </c>
      <c r="Q112" s="1937" t="str">
        <f t="shared" si="60"/>
        <v xml:space="preserve"> </v>
      </c>
      <c r="R112" s="1939" t="str">
        <f t="shared" si="65"/>
        <v xml:space="preserve"> </v>
      </c>
      <c r="S112" s="1939" t="str">
        <f t="shared" si="62"/>
        <v xml:space="preserve"> </v>
      </c>
      <c r="T112" s="1937" t="str">
        <f t="shared" si="66"/>
        <v xml:space="preserve"> </v>
      </c>
      <c r="U112" s="1937" t="str">
        <f t="shared" si="58"/>
        <v xml:space="preserve"> </v>
      </c>
      <c r="V112" s="727"/>
    </row>
    <row r="113" spans="1:22" s="728" customFormat="1" ht="18" hidden="1" customHeight="1">
      <c r="A113" s="3116" t="s">
        <v>976</v>
      </c>
      <c r="B113" s="3062" t="s">
        <v>1858</v>
      </c>
      <c r="C113" s="3045"/>
      <c r="D113" s="3045"/>
      <c r="E113" s="3045"/>
      <c r="F113" s="3046"/>
      <c r="G113" s="3059"/>
      <c r="H113" s="3058">
        <f>+I113+J113</f>
        <v>0</v>
      </c>
      <c r="I113" s="3058"/>
      <c r="J113" s="3058"/>
      <c r="K113" s="3059">
        <f>PLATI!C90</f>
        <v>0</v>
      </c>
      <c r="L113" s="3058">
        <f>+H113-K113</f>
        <v>0</v>
      </c>
      <c r="M113" s="3047"/>
      <c r="N113" s="1675"/>
      <c r="O113" s="1941" t="str">
        <f t="shared" si="88"/>
        <v xml:space="preserve"> </v>
      </c>
      <c r="P113" s="1937" t="str">
        <f t="shared" si="64"/>
        <v xml:space="preserve"> </v>
      </c>
      <c r="Q113" s="1937" t="str">
        <f t="shared" si="60"/>
        <v xml:space="preserve"> </v>
      </c>
      <c r="R113" s="1939" t="str">
        <f t="shared" si="65"/>
        <v xml:space="preserve"> </v>
      </c>
      <c r="S113" s="1939" t="str">
        <f t="shared" si="62"/>
        <v xml:space="preserve"> </v>
      </c>
      <c r="T113" s="1937" t="str">
        <f t="shared" si="66"/>
        <v xml:space="preserve"> </v>
      </c>
      <c r="U113" s="1937" t="str">
        <f t="shared" si="58"/>
        <v xml:space="preserve"> </v>
      </c>
      <c r="V113" s="727"/>
    </row>
    <row r="114" spans="1:22" s="728" customFormat="1" ht="18" hidden="1" customHeight="1">
      <c r="A114" s="3116" t="s">
        <v>1860</v>
      </c>
      <c r="B114" s="3062" t="s">
        <v>1859</v>
      </c>
      <c r="C114" s="3045"/>
      <c r="D114" s="3045"/>
      <c r="E114" s="3045"/>
      <c r="F114" s="3046"/>
      <c r="G114" s="3059"/>
      <c r="H114" s="3058">
        <f>+I114+J114</f>
        <v>0</v>
      </c>
      <c r="I114" s="3058"/>
      <c r="J114" s="3058"/>
      <c r="K114" s="3059">
        <f>PLATI!C91</f>
        <v>0</v>
      </c>
      <c r="L114" s="3058">
        <f>+H114-K114</f>
        <v>0</v>
      </c>
      <c r="M114" s="3047"/>
      <c r="N114" s="1675"/>
      <c r="O114" s="1941" t="str">
        <f t="shared" si="88"/>
        <v xml:space="preserve"> </v>
      </c>
      <c r="P114" s="1937" t="str">
        <f t="shared" si="64"/>
        <v xml:space="preserve"> </v>
      </c>
      <c r="Q114" s="1937" t="str">
        <f t="shared" si="60"/>
        <v xml:space="preserve"> </v>
      </c>
      <c r="R114" s="1939" t="str">
        <f t="shared" si="65"/>
        <v xml:space="preserve"> </v>
      </c>
      <c r="S114" s="1939" t="str">
        <f t="shared" si="62"/>
        <v xml:space="preserve"> </v>
      </c>
      <c r="T114" s="1937" t="str">
        <f t="shared" si="66"/>
        <v xml:space="preserve"> </v>
      </c>
      <c r="U114" s="1937" t="str">
        <f t="shared" si="58"/>
        <v xml:space="preserve"> </v>
      </c>
      <c r="V114" s="727"/>
    </row>
    <row r="115" spans="1:22" s="728" customFormat="1" ht="25.5">
      <c r="A115" s="3124" t="s">
        <v>1954</v>
      </c>
      <c r="B115" s="3125" t="s">
        <v>2574</v>
      </c>
      <c r="C115" s="3060">
        <f>C116+C117+C118</f>
        <v>0</v>
      </c>
      <c r="D115" s="3060">
        <f t="shared" ref="D115:M115" si="103">D116+D117+D118</f>
        <v>0</v>
      </c>
      <c r="E115" s="3060">
        <f t="shared" si="103"/>
        <v>0</v>
      </c>
      <c r="F115" s="3067">
        <f t="shared" si="103"/>
        <v>0</v>
      </c>
      <c r="G115" s="3067">
        <f t="shared" si="103"/>
        <v>0</v>
      </c>
      <c r="H115" s="3060">
        <f t="shared" si="103"/>
        <v>0</v>
      </c>
      <c r="I115" s="3060">
        <f t="shared" si="103"/>
        <v>0</v>
      </c>
      <c r="J115" s="3060">
        <f t="shared" si="103"/>
        <v>0</v>
      </c>
      <c r="K115" s="3067">
        <f t="shared" si="103"/>
        <v>0</v>
      </c>
      <c r="L115" s="3060">
        <f t="shared" si="103"/>
        <v>0</v>
      </c>
      <c r="M115" s="3068">
        <f t="shared" si="103"/>
        <v>0</v>
      </c>
      <c r="N115" s="1675"/>
      <c r="O115" s="1941"/>
      <c r="P115" s="1937"/>
      <c r="Q115" s="1937"/>
      <c r="R115" s="1939"/>
      <c r="S115" s="1939"/>
      <c r="T115" s="1937"/>
      <c r="U115" s="1937"/>
      <c r="V115" s="727"/>
    </row>
    <row r="116" spans="1:22" s="728" customFormat="1">
      <c r="A116" s="3116" t="s">
        <v>975</v>
      </c>
      <c r="B116" s="3062" t="s">
        <v>2575</v>
      </c>
      <c r="C116" s="3045"/>
      <c r="D116" s="3045"/>
      <c r="E116" s="3045"/>
      <c r="F116" s="3046"/>
      <c r="G116" s="3059">
        <f>'ANGAJ BUGETAR'!C93</f>
        <v>0</v>
      </c>
      <c r="H116" s="3058">
        <f t="shared" ref="H116:H118" si="104">+I116+J116</f>
        <v>0</v>
      </c>
      <c r="I116" s="3058">
        <f>'ANGAJAM LEGAL '!D93</f>
        <v>0</v>
      </c>
      <c r="J116" s="3058">
        <f>'ANGAJAM LEGAL '!E93</f>
        <v>0</v>
      </c>
      <c r="K116" s="3059">
        <f>PLATI!C93</f>
        <v>0</v>
      </c>
      <c r="L116" s="3058">
        <f t="shared" ref="L116:L118" si="105">+H116-K116</f>
        <v>0</v>
      </c>
      <c r="M116" s="3047"/>
      <c r="N116" s="1675"/>
      <c r="O116" s="1941"/>
      <c r="P116" s="1937"/>
      <c r="Q116" s="1937"/>
      <c r="R116" s="1939"/>
      <c r="S116" s="1939"/>
      <c r="T116" s="1937"/>
      <c r="U116" s="1937"/>
      <c r="V116" s="727"/>
    </row>
    <row r="117" spans="1:22" s="728" customFormat="1">
      <c r="A117" s="3116" t="s">
        <v>976</v>
      </c>
      <c r="B117" s="3062" t="s">
        <v>2576</v>
      </c>
      <c r="C117" s="3045"/>
      <c r="D117" s="3045"/>
      <c r="E117" s="3045"/>
      <c r="F117" s="3046"/>
      <c r="G117" s="3059">
        <f>'ANGAJ BUGETAR'!C94</f>
        <v>0</v>
      </c>
      <c r="H117" s="3058">
        <f t="shared" si="104"/>
        <v>0</v>
      </c>
      <c r="I117" s="3058">
        <f>'ANGAJAM LEGAL '!D94</f>
        <v>0</v>
      </c>
      <c r="J117" s="3058">
        <f>'ANGAJAM LEGAL '!E94</f>
        <v>0</v>
      </c>
      <c r="K117" s="3059">
        <f>PLATI!C94</f>
        <v>0</v>
      </c>
      <c r="L117" s="3058">
        <f t="shared" si="105"/>
        <v>0</v>
      </c>
      <c r="M117" s="3047"/>
      <c r="N117" s="1675"/>
      <c r="O117" s="1941"/>
      <c r="P117" s="1937"/>
      <c r="Q117" s="1937"/>
      <c r="R117" s="1939"/>
      <c r="S117" s="1939"/>
      <c r="T117" s="1937"/>
      <c r="U117" s="1937"/>
      <c r="V117" s="727"/>
    </row>
    <row r="118" spans="1:22" s="728" customFormat="1">
      <c r="A118" s="3116" t="s">
        <v>1860</v>
      </c>
      <c r="B118" s="3062" t="s">
        <v>2577</v>
      </c>
      <c r="C118" s="3045"/>
      <c r="D118" s="3045"/>
      <c r="E118" s="3045"/>
      <c r="F118" s="3046"/>
      <c r="G118" s="3059">
        <f>'ANGAJ BUGETAR'!C95</f>
        <v>0</v>
      </c>
      <c r="H118" s="3058">
        <f t="shared" si="104"/>
        <v>0</v>
      </c>
      <c r="I118" s="3058">
        <f>'ANGAJAM LEGAL '!D95</f>
        <v>0</v>
      </c>
      <c r="J118" s="3058">
        <f>'ANGAJAM LEGAL '!E95</f>
        <v>0</v>
      </c>
      <c r="K118" s="3059">
        <f>PLATI!C95</f>
        <v>0</v>
      </c>
      <c r="L118" s="3058">
        <f t="shared" si="105"/>
        <v>0</v>
      </c>
      <c r="M118" s="3047"/>
      <c r="N118" s="1675"/>
      <c r="O118" s="1941"/>
      <c r="P118" s="1937"/>
      <c r="Q118" s="1937"/>
      <c r="R118" s="1939"/>
      <c r="S118" s="1939"/>
      <c r="T118" s="1937"/>
      <c r="U118" s="1937"/>
      <c r="V118" s="727"/>
    </row>
    <row r="119" spans="1:22" s="734" customFormat="1">
      <c r="A119" s="3146" t="s">
        <v>980</v>
      </c>
      <c r="B119" s="3052" t="s">
        <v>981</v>
      </c>
      <c r="C119" s="3060">
        <f>C120+C121</f>
        <v>0</v>
      </c>
      <c r="D119" s="3060">
        <f>+D120+D121</f>
        <v>0</v>
      </c>
      <c r="E119" s="3060">
        <f t="shared" ref="E119:M119" si="106">+E120+E121</f>
        <v>0</v>
      </c>
      <c r="F119" s="3060">
        <f t="shared" si="106"/>
        <v>0</v>
      </c>
      <c r="G119" s="3060">
        <f t="shared" si="106"/>
        <v>0</v>
      </c>
      <c r="H119" s="3060">
        <f t="shared" si="106"/>
        <v>0</v>
      </c>
      <c r="I119" s="3060">
        <f t="shared" si="106"/>
        <v>0</v>
      </c>
      <c r="J119" s="3060">
        <f t="shared" si="106"/>
        <v>0</v>
      </c>
      <c r="K119" s="3060">
        <f t="shared" si="106"/>
        <v>0</v>
      </c>
      <c r="L119" s="3060">
        <f t="shared" si="106"/>
        <v>0</v>
      </c>
      <c r="M119" s="3068">
        <f t="shared" si="106"/>
        <v>0</v>
      </c>
      <c r="N119" s="1950"/>
      <c r="O119" s="1938" t="str">
        <f>IF(+'CREDITE BUG'!D21&lt;&gt;'CONT EXECUTIE  '!K119," EROARE"," ")</f>
        <v xml:space="preserve"> </v>
      </c>
      <c r="P119" s="1937" t="str">
        <f t="shared" si="64"/>
        <v xml:space="preserve"> </v>
      </c>
      <c r="Q119" s="1937" t="str">
        <f t="shared" si="60"/>
        <v xml:space="preserve"> </v>
      </c>
      <c r="R119" s="1939" t="str">
        <f t="shared" si="65"/>
        <v xml:space="preserve"> </v>
      </c>
      <c r="S119" s="1939" t="str">
        <f t="shared" si="62"/>
        <v xml:space="preserve"> </v>
      </c>
      <c r="T119" s="1937" t="str">
        <f t="shared" si="66"/>
        <v xml:space="preserve"> </v>
      </c>
      <c r="U119" s="1937" t="str">
        <f t="shared" si="58"/>
        <v xml:space="preserve"> </v>
      </c>
      <c r="V119" s="733"/>
    </row>
    <row r="120" spans="1:22" s="728" customFormat="1">
      <c r="A120" s="3116" t="s">
        <v>982</v>
      </c>
      <c r="B120" s="3062" t="s">
        <v>983</v>
      </c>
      <c r="C120" s="3045"/>
      <c r="D120" s="3045"/>
      <c r="E120" s="3045"/>
      <c r="F120" s="3046"/>
      <c r="G120" s="3059">
        <f>'ANGAJ BUGETAR'!C97</f>
        <v>0</v>
      </c>
      <c r="H120" s="3058">
        <f>+I120+J120</f>
        <v>0</v>
      </c>
      <c r="I120" s="3058">
        <f>'ANGAJAM LEGAL '!D97</f>
        <v>0</v>
      </c>
      <c r="J120" s="3058">
        <f>'ANGAJAM LEGAL '!E97</f>
        <v>0</v>
      </c>
      <c r="K120" s="3059">
        <f>PLATI!C97</f>
        <v>0</v>
      </c>
      <c r="L120" s="3058">
        <f>+H120-K120</f>
        <v>0</v>
      </c>
      <c r="M120" s="3047"/>
      <c r="N120" s="1675"/>
      <c r="O120" s="1941" t="str">
        <f>IF(F120&lt;K120," EROARE"," ")</f>
        <v xml:space="preserve"> </v>
      </c>
      <c r="P120" s="1937" t="str">
        <f t="shared" si="64"/>
        <v xml:space="preserve"> </v>
      </c>
      <c r="Q120" s="1937" t="str">
        <f t="shared" si="60"/>
        <v xml:space="preserve"> </v>
      </c>
      <c r="R120" s="1939" t="str">
        <f t="shared" si="65"/>
        <v xml:space="preserve"> </v>
      </c>
      <c r="S120" s="1939" t="str">
        <f t="shared" si="62"/>
        <v xml:space="preserve"> </v>
      </c>
      <c r="T120" s="1937" t="str">
        <f t="shared" si="66"/>
        <v xml:space="preserve"> </v>
      </c>
      <c r="U120" s="1937" t="str">
        <f t="shared" si="58"/>
        <v xml:space="preserve"> </v>
      </c>
      <c r="V120" s="727"/>
    </row>
    <row r="121" spans="1:22" s="728" customFormat="1" ht="25.5">
      <c r="A121" s="3116" t="s">
        <v>1864</v>
      </c>
      <c r="B121" s="3062" t="s">
        <v>1863</v>
      </c>
      <c r="C121" s="3045"/>
      <c r="D121" s="3045"/>
      <c r="E121" s="3045"/>
      <c r="F121" s="3045"/>
      <c r="G121" s="3059">
        <f>'ANGAJ BUGETAR'!C98</f>
        <v>0</v>
      </c>
      <c r="H121" s="3058">
        <f>+I121+J121</f>
        <v>0</v>
      </c>
      <c r="I121" s="3058">
        <f>'ANGAJAM LEGAL '!D98</f>
        <v>0</v>
      </c>
      <c r="J121" s="3058">
        <f>'ANGAJAM LEGAL '!E98</f>
        <v>0</v>
      </c>
      <c r="K121" s="3059">
        <f>PLATI!C98</f>
        <v>0</v>
      </c>
      <c r="L121" s="3058">
        <f>+H121-K121</f>
        <v>0</v>
      </c>
      <c r="M121" s="3047"/>
      <c r="N121" s="1675"/>
      <c r="O121" s="1941" t="str">
        <f>IF(F121&lt;K121," EROARE"," ")</f>
        <v xml:space="preserve"> </v>
      </c>
      <c r="P121" s="1937" t="str">
        <f t="shared" si="64"/>
        <v xml:space="preserve"> </v>
      </c>
      <c r="Q121" s="1937" t="str">
        <f t="shared" si="60"/>
        <v xml:space="preserve"> </v>
      </c>
      <c r="R121" s="1939" t="str">
        <f t="shared" si="65"/>
        <v xml:space="preserve"> </v>
      </c>
      <c r="S121" s="1939" t="str">
        <f t="shared" si="62"/>
        <v xml:space="preserve"> </v>
      </c>
      <c r="T121" s="1937" t="str">
        <f t="shared" si="66"/>
        <v xml:space="preserve"> </v>
      </c>
      <c r="U121" s="1937" t="str">
        <f t="shared" si="58"/>
        <v xml:space="preserve"> </v>
      </c>
      <c r="V121" s="727"/>
    </row>
    <row r="122" spans="1:22" s="732" customFormat="1">
      <c r="A122" s="3124" t="s">
        <v>872</v>
      </c>
      <c r="B122" s="3125" t="s">
        <v>1070</v>
      </c>
      <c r="C122" s="3113">
        <f t="shared" ref="C122:M122" si="107">ROUND(+C123,1)</f>
        <v>602000</v>
      </c>
      <c r="D122" s="3113">
        <f t="shared" si="107"/>
        <v>302000</v>
      </c>
      <c r="E122" s="3113">
        <f t="shared" si="107"/>
        <v>602000</v>
      </c>
      <c r="F122" s="3113">
        <f t="shared" si="107"/>
        <v>302000</v>
      </c>
      <c r="G122" s="3113">
        <f t="shared" si="107"/>
        <v>0</v>
      </c>
      <c r="H122" s="3113">
        <f t="shared" si="107"/>
        <v>0</v>
      </c>
      <c r="I122" s="3113">
        <f t="shared" si="107"/>
        <v>0</v>
      </c>
      <c r="J122" s="3113">
        <f t="shared" si="107"/>
        <v>0</v>
      </c>
      <c r="K122" s="3113">
        <f t="shared" si="107"/>
        <v>0</v>
      </c>
      <c r="L122" s="3113">
        <f t="shared" si="107"/>
        <v>0</v>
      </c>
      <c r="M122" s="3114">
        <f t="shared" si="107"/>
        <v>25868</v>
      </c>
      <c r="N122" s="1949"/>
      <c r="O122" s="1938" t="str">
        <f>IF(+'CREDITE BUG'!D22&lt;&gt;'CONT EXECUTIE  '!K122," EROARE"," ")</f>
        <v xml:space="preserve"> </v>
      </c>
      <c r="P122" s="1938" t="str">
        <f>IF('ANEXA 2'!E19+'ANEXA 2'!E34&lt;&gt;'CONT EXECUTIE  '!M122+'ANEXA 2 SOLDURI'!B77+'ANEXA 2 SOLDURI'!B76+'ANEXA 2 SOLDURI'!B78+'ANEXA 2 SOLDURI'!B93," EROARE"," ")</f>
        <v xml:space="preserve"> </v>
      </c>
      <c r="Q122" s="723"/>
      <c r="R122" s="1939" t="str">
        <f t="shared" si="65"/>
        <v xml:space="preserve"> </v>
      </c>
      <c r="S122" s="1939" t="str">
        <f t="shared" si="62"/>
        <v xml:space="preserve"> </v>
      </c>
      <c r="T122" s="1937" t="str">
        <f t="shared" si="66"/>
        <v xml:space="preserve"> </v>
      </c>
      <c r="U122" s="1937" t="str">
        <f t="shared" si="58"/>
        <v xml:space="preserve"> </v>
      </c>
      <c r="V122" s="731"/>
    </row>
    <row r="123" spans="1:22" s="732" customFormat="1" ht="25.5">
      <c r="A123" s="3124" t="s">
        <v>2425</v>
      </c>
      <c r="B123" s="3125" t="s">
        <v>1071</v>
      </c>
      <c r="C123" s="3113">
        <f t="shared" ref="C123:M123" si="108">ROUND(+C124+C129,1)</f>
        <v>602000</v>
      </c>
      <c r="D123" s="3113">
        <f>ROUND(+D124+D129,1)</f>
        <v>302000</v>
      </c>
      <c r="E123" s="3113">
        <f t="shared" si="108"/>
        <v>602000</v>
      </c>
      <c r="F123" s="3113">
        <f t="shared" si="108"/>
        <v>302000</v>
      </c>
      <c r="G123" s="3113">
        <f t="shared" si="108"/>
        <v>0</v>
      </c>
      <c r="H123" s="3113">
        <f t="shared" si="108"/>
        <v>0</v>
      </c>
      <c r="I123" s="3113">
        <f t="shared" si="108"/>
        <v>0</v>
      </c>
      <c r="J123" s="3113">
        <f t="shared" si="108"/>
        <v>0</v>
      </c>
      <c r="K123" s="3113">
        <f t="shared" si="108"/>
        <v>0</v>
      </c>
      <c r="L123" s="3113">
        <f t="shared" si="108"/>
        <v>0</v>
      </c>
      <c r="M123" s="3114">
        <f t="shared" si="108"/>
        <v>25868</v>
      </c>
      <c r="N123" s="1949"/>
      <c r="O123" s="1937" t="str">
        <f t="shared" ref="O123" si="109">IF(F123&lt;K123," EROARE"," ")</f>
        <v xml:space="preserve"> </v>
      </c>
      <c r="P123" s="1937" t="str">
        <f t="shared" ref="P123:P131" si="110">IF(E123&lt;G123," EROARE"," ")</f>
        <v xml:space="preserve"> </v>
      </c>
      <c r="Q123" s="723"/>
      <c r="R123" s="1939" t="str">
        <f t="shared" si="65"/>
        <v xml:space="preserve"> </v>
      </c>
      <c r="S123" s="1939" t="str">
        <f t="shared" si="62"/>
        <v xml:space="preserve"> </v>
      </c>
      <c r="T123" s="1937" t="str">
        <f t="shared" ref="T123:T125" si="111">IF(H123&lt;K123," EROARE"," ")</f>
        <v xml:space="preserve"> </v>
      </c>
      <c r="U123" s="1937" t="str">
        <f t="shared" si="58"/>
        <v xml:space="preserve"> </v>
      </c>
      <c r="V123" s="731"/>
    </row>
    <row r="124" spans="1:22" s="732" customFormat="1">
      <c r="A124" s="3124" t="s">
        <v>1536</v>
      </c>
      <c r="B124" s="3125" t="s">
        <v>1072</v>
      </c>
      <c r="C124" s="3113">
        <f t="shared" ref="C124:M124" si="112">ROUND(C125+C126+C127+C128,1)</f>
        <v>2000</v>
      </c>
      <c r="D124" s="3113">
        <f>ROUND(D125+D126+D127+D128,1)</f>
        <v>2000</v>
      </c>
      <c r="E124" s="3113">
        <f t="shared" si="112"/>
        <v>2000</v>
      </c>
      <c r="F124" s="3113">
        <f t="shared" si="112"/>
        <v>2000</v>
      </c>
      <c r="G124" s="3113">
        <f t="shared" si="112"/>
        <v>0</v>
      </c>
      <c r="H124" s="3113">
        <f t="shared" si="112"/>
        <v>0</v>
      </c>
      <c r="I124" s="3113">
        <f t="shared" si="112"/>
        <v>0</v>
      </c>
      <c r="J124" s="3113">
        <f t="shared" si="112"/>
        <v>0</v>
      </c>
      <c r="K124" s="3113">
        <f t="shared" si="112"/>
        <v>0</v>
      </c>
      <c r="L124" s="3113">
        <f t="shared" si="112"/>
        <v>0</v>
      </c>
      <c r="M124" s="3114">
        <f t="shared" si="112"/>
        <v>25868</v>
      </c>
      <c r="N124" s="1949"/>
      <c r="O124" s="1937" t="str">
        <f t="shared" ref="O124:O125" si="113">IF(F124&lt;K124," EROARE"," ")</f>
        <v xml:space="preserve"> </v>
      </c>
      <c r="P124" s="1937" t="str">
        <f t="shared" si="110"/>
        <v xml:space="preserve"> </v>
      </c>
      <c r="Q124" s="723"/>
      <c r="R124" s="1939" t="str">
        <f t="shared" si="65"/>
        <v xml:space="preserve"> </v>
      </c>
      <c r="S124" s="1939" t="str">
        <f t="shared" si="62"/>
        <v xml:space="preserve"> </v>
      </c>
      <c r="T124" s="1937" t="str">
        <f t="shared" si="111"/>
        <v xml:space="preserve"> </v>
      </c>
      <c r="U124" s="1937" t="str">
        <f t="shared" si="58"/>
        <v xml:space="preserve"> </v>
      </c>
      <c r="V124" s="731"/>
    </row>
    <row r="125" spans="1:22" s="728" customFormat="1">
      <c r="A125" s="3116" t="s">
        <v>992</v>
      </c>
      <c r="B125" s="3044" t="s">
        <v>1073</v>
      </c>
      <c r="C125" s="3045"/>
      <c r="D125" s="3045"/>
      <c r="E125" s="3045"/>
      <c r="F125" s="3045"/>
      <c r="G125" s="3059">
        <f>'ANGAJ BUGETAR'!C102</f>
        <v>0</v>
      </c>
      <c r="H125" s="3058">
        <f>I125+J125</f>
        <v>0</v>
      </c>
      <c r="I125" s="3058">
        <f>'ANGAJAM LEGAL '!D102</f>
        <v>0</v>
      </c>
      <c r="J125" s="3058">
        <f>'ANGAJAM LEGAL '!E102</f>
        <v>0</v>
      </c>
      <c r="K125" s="3059">
        <f>PLATI!C102</f>
        <v>0</v>
      </c>
      <c r="L125" s="3058">
        <f>ROUND(H125-K125,1)</f>
        <v>0</v>
      </c>
      <c r="M125" s="3047">
        <v>19697</v>
      </c>
      <c r="N125" s="1675"/>
      <c r="O125" s="1937" t="str">
        <f t="shared" si="113"/>
        <v xml:space="preserve"> </v>
      </c>
      <c r="P125" s="1937" t="str">
        <f t="shared" si="110"/>
        <v xml:space="preserve"> </v>
      </c>
      <c r="Q125" s="723"/>
      <c r="R125" s="1939" t="str">
        <f t="shared" si="65"/>
        <v xml:space="preserve"> </v>
      </c>
      <c r="S125" s="1939" t="str">
        <f t="shared" si="62"/>
        <v xml:space="preserve"> </v>
      </c>
      <c r="T125" s="1937" t="str">
        <f t="shared" si="111"/>
        <v xml:space="preserve"> </v>
      </c>
      <c r="U125" s="1937" t="str">
        <f t="shared" si="58"/>
        <v xml:space="preserve"> </v>
      </c>
      <c r="V125" s="727"/>
    </row>
    <row r="126" spans="1:22" s="728" customFormat="1" ht="25.5">
      <c r="A126" s="3147" t="s">
        <v>876</v>
      </c>
      <c r="B126" s="3148" t="s">
        <v>1074</v>
      </c>
      <c r="C126" s="3045"/>
      <c r="D126" s="3045"/>
      <c r="E126" s="3045"/>
      <c r="F126" s="3045"/>
      <c r="G126" s="3059">
        <f>'ANGAJ BUGETAR'!C103</f>
        <v>0</v>
      </c>
      <c r="H126" s="3058">
        <f>I126+J126</f>
        <v>0</v>
      </c>
      <c r="I126" s="3058">
        <f>'ANGAJAM LEGAL '!D103</f>
        <v>0</v>
      </c>
      <c r="J126" s="3058">
        <f>'ANGAJAM LEGAL '!E103</f>
        <v>0</v>
      </c>
      <c r="K126" s="3059">
        <f>PLATI!C103</f>
        <v>0</v>
      </c>
      <c r="L126" s="3058">
        <f>ROUND(H126-K126,1)</f>
        <v>0</v>
      </c>
      <c r="M126" s="3047">
        <v>3282</v>
      </c>
      <c r="N126" s="1675"/>
      <c r="O126" s="1937" t="str">
        <f t="shared" ref="O126:O137" si="114">IF(F126&lt;K126," EROARE"," ")</f>
        <v xml:space="preserve"> </v>
      </c>
      <c r="P126" s="1937" t="str">
        <f t="shared" si="110"/>
        <v xml:space="preserve"> </v>
      </c>
      <c r="Q126" s="1937" t="str">
        <f t="shared" ref="Q126:Q130" si="115">IF(E126&lt;H126," EROARE"," ")</f>
        <v xml:space="preserve"> </v>
      </c>
      <c r="R126" s="1939" t="str">
        <f t="shared" si="65"/>
        <v xml:space="preserve"> </v>
      </c>
      <c r="S126" s="1939" t="str">
        <f t="shared" si="62"/>
        <v xml:space="preserve"> </v>
      </c>
      <c r="T126" s="1937" t="str">
        <f t="shared" si="66"/>
        <v xml:space="preserve"> </v>
      </c>
      <c r="U126" s="1937" t="str">
        <f t="shared" si="58"/>
        <v xml:space="preserve"> </v>
      </c>
      <c r="V126" s="727"/>
    </row>
    <row r="127" spans="1:22" s="728" customFormat="1" ht="25.5">
      <c r="A127" s="3149" t="s">
        <v>994</v>
      </c>
      <c r="B127" s="3148" t="s">
        <v>1075</v>
      </c>
      <c r="C127" s="3045"/>
      <c r="D127" s="3045"/>
      <c r="E127" s="3045"/>
      <c r="F127" s="3045"/>
      <c r="G127" s="3059">
        <f>'ANGAJ BUGETAR'!C104</f>
        <v>0</v>
      </c>
      <c r="H127" s="3058">
        <f>I127+J127</f>
        <v>0</v>
      </c>
      <c r="I127" s="3058">
        <f>'ANGAJAM LEGAL '!D104</f>
        <v>0</v>
      </c>
      <c r="J127" s="3058">
        <f>'ANGAJAM LEGAL '!E104</f>
        <v>0</v>
      </c>
      <c r="K127" s="3059">
        <f>PLATI!C104</f>
        <v>0</v>
      </c>
      <c r="L127" s="3058">
        <f>ROUND(H127-K127,1)</f>
        <v>0</v>
      </c>
      <c r="M127" s="3047">
        <v>1489</v>
      </c>
      <c r="N127" s="1675"/>
      <c r="O127" s="1937" t="str">
        <f t="shared" ref="O127:O130" si="116">IF(F127&lt;K127," EROARE"," ")</f>
        <v xml:space="preserve"> </v>
      </c>
      <c r="P127" s="1937" t="str">
        <f t="shared" si="110"/>
        <v xml:space="preserve"> </v>
      </c>
      <c r="Q127" s="1937" t="str">
        <f t="shared" si="115"/>
        <v xml:space="preserve"> </v>
      </c>
      <c r="R127" s="1939" t="str">
        <f t="shared" si="65"/>
        <v xml:space="preserve"> </v>
      </c>
      <c r="S127" s="1939" t="str">
        <f t="shared" si="62"/>
        <v xml:space="preserve"> </v>
      </c>
      <c r="T127" s="1937" t="str">
        <f t="shared" ref="T127:T131" si="117">IF(H127&lt;K127," EROARE"," ")</f>
        <v xml:space="preserve"> </v>
      </c>
      <c r="U127" s="1937" t="str">
        <f t="shared" si="58"/>
        <v xml:space="preserve"> </v>
      </c>
      <c r="V127" s="727"/>
    </row>
    <row r="128" spans="1:22" s="728" customFormat="1">
      <c r="A128" s="3116" t="s">
        <v>1537</v>
      </c>
      <c r="B128" s="3044" t="s">
        <v>1076</v>
      </c>
      <c r="C128" s="3045">
        <v>2000</v>
      </c>
      <c r="D128" s="3045">
        <v>2000</v>
      </c>
      <c r="E128" s="3045">
        <v>2000</v>
      </c>
      <c r="F128" s="3045">
        <v>2000</v>
      </c>
      <c r="G128" s="3059">
        <f>'ANGAJ BUGETAR'!C105</f>
        <v>0</v>
      </c>
      <c r="H128" s="3058">
        <f>I128+J128</f>
        <v>0</v>
      </c>
      <c r="I128" s="3058">
        <f>'ANGAJAM LEGAL '!D105</f>
        <v>0</v>
      </c>
      <c r="J128" s="3058">
        <f>'ANGAJAM LEGAL '!E105</f>
        <v>0</v>
      </c>
      <c r="K128" s="3059">
        <f>PLATI!C105</f>
        <v>0</v>
      </c>
      <c r="L128" s="3058">
        <f>ROUND(H128-K128,1)</f>
        <v>0</v>
      </c>
      <c r="M128" s="3047">
        <v>1400</v>
      </c>
      <c r="N128" s="1675"/>
      <c r="O128" s="1937" t="str">
        <f t="shared" si="116"/>
        <v xml:space="preserve"> </v>
      </c>
      <c r="P128" s="1937" t="str">
        <f t="shared" si="110"/>
        <v xml:space="preserve"> </v>
      </c>
      <c r="Q128" s="1937" t="str">
        <f t="shared" si="115"/>
        <v xml:space="preserve"> </v>
      </c>
      <c r="R128" s="1939" t="str">
        <f t="shared" si="65"/>
        <v xml:space="preserve"> </v>
      </c>
      <c r="S128" s="1939" t="str">
        <f t="shared" si="62"/>
        <v xml:space="preserve"> </v>
      </c>
      <c r="T128" s="1937" t="str">
        <f t="shared" si="117"/>
        <v xml:space="preserve"> </v>
      </c>
      <c r="U128" s="1937" t="str">
        <f t="shared" si="58"/>
        <v xml:space="preserve"> </v>
      </c>
      <c r="V128" s="727"/>
    </row>
    <row r="129" spans="1:22" s="732" customFormat="1" ht="25.5">
      <c r="A129" s="3124" t="s">
        <v>998</v>
      </c>
      <c r="B129" s="3125" t="s">
        <v>1538</v>
      </c>
      <c r="C129" s="3127">
        <v>600000</v>
      </c>
      <c r="D129" s="3127">
        <v>300000</v>
      </c>
      <c r="E129" s="3127">
        <v>600000</v>
      </c>
      <c r="F129" s="3127">
        <v>300000</v>
      </c>
      <c r="G129" s="3059">
        <f>'ANGAJ BUGETAR'!C106</f>
        <v>0</v>
      </c>
      <c r="H129" s="3060">
        <f>I129+J129</f>
        <v>0</v>
      </c>
      <c r="I129" s="3060">
        <f>'ANGAJAM LEGAL '!D106</f>
        <v>0</v>
      </c>
      <c r="J129" s="3060">
        <f>'ANGAJAM LEGAL '!E106</f>
        <v>0</v>
      </c>
      <c r="K129" s="3067">
        <f>PLATI!C106</f>
        <v>0</v>
      </c>
      <c r="L129" s="3060">
        <f>ROUND(H129-K129,1)</f>
        <v>0</v>
      </c>
      <c r="M129" s="3130"/>
      <c r="N129" s="1951"/>
      <c r="O129" s="1937" t="str">
        <f t="shared" si="116"/>
        <v xml:space="preserve"> </v>
      </c>
      <c r="P129" s="1937" t="str">
        <f t="shared" si="110"/>
        <v xml:space="preserve"> </v>
      </c>
      <c r="Q129" s="1937" t="str">
        <f t="shared" si="115"/>
        <v xml:space="preserve"> </v>
      </c>
      <c r="R129" s="1939" t="str">
        <f t="shared" si="65"/>
        <v xml:space="preserve"> </v>
      </c>
      <c r="S129" s="1939" t="str">
        <f t="shared" si="62"/>
        <v xml:space="preserve"> </v>
      </c>
      <c r="T129" s="1937" t="str">
        <f t="shared" si="117"/>
        <v xml:space="preserve"> </v>
      </c>
      <c r="U129" s="1937" t="str">
        <f t="shared" si="58"/>
        <v xml:space="preserve"> </v>
      </c>
      <c r="V129" s="731"/>
    </row>
    <row r="130" spans="1:22" s="734" customFormat="1" ht="18" customHeight="1">
      <c r="A130" s="3150" t="s">
        <v>822</v>
      </c>
      <c r="B130" s="3151" t="s">
        <v>823</v>
      </c>
      <c r="C130" s="3127"/>
      <c r="D130" s="3127"/>
      <c r="E130" s="3127"/>
      <c r="F130" s="3127"/>
      <c r="G130" s="3067">
        <f>'ANGAJ BUGETAR'!E107</f>
        <v>0</v>
      </c>
      <c r="H130" s="3060">
        <f>+I130+J130</f>
        <v>0</v>
      </c>
      <c r="I130" s="3060">
        <f>'ANGAJAM LEGAL '!D107</f>
        <v>0</v>
      </c>
      <c r="J130" s="3060">
        <f>'ANGAJAM LEGAL '!G107</f>
        <v>0</v>
      </c>
      <c r="K130" s="3129">
        <f>+PLATI!E107</f>
        <v>0</v>
      </c>
      <c r="L130" s="3113">
        <f>+H130-K130</f>
        <v>0</v>
      </c>
      <c r="M130" s="3130"/>
      <c r="N130" s="1951"/>
      <c r="O130" s="1937" t="str">
        <f t="shared" si="116"/>
        <v xml:space="preserve"> </v>
      </c>
      <c r="P130" s="1937" t="str">
        <f t="shared" si="110"/>
        <v xml:space="preserve"> </v>
      </c>
      <c r="Q130" s="1937" t="str">
        <f t="shared" si="115"/>
        <v xml:space="preserve"> </v>
      </c>
      <c r="R130" s="1939" t="str">
        <f t="shared" si="65"/>
        <v xml:space="preserve"> </v>
      </c>
      <c r="S130" s="1939" t="str">
        <f t="shared" si="62"/>
        <v xml:space="preserve"> </v>
      </c>
      <c r="T130" s="1937" t="str">
        <f t="shared" si="117"/>
        <v xml:space="preserve"> </v>
      </c>
      <c r="U130" s="1937" t="str">
        <f t="shared" si="58"/>
        <v xml:space="preserve"> </v>
      </c>
      <c r="V130" s="733"/>
    </row>
    <row r="131" spans="1:22" s="732" customFormat="1" ht="18" customHeight="1">
      <c r="A131" s="3150" t="s">
        <v>824</v>
      </c>
      <c r="B131" s="3151" t="s">
        <v>825</v>
      </c>
      <c r="C131" s="3113">
        <f>ROUND(C35+C57+C86+C89-C67-C130+C119+C106+C122,1)</f>
        <v>117913140</v>
      </c>
      <c r="D131" s="3113">
        <f>ROUND(D35+D57+D86+D89-D67-D130+D119+D106+D122,1)</f>
        <v>70311230</v>
      </c>
      <c r="E131" s="3113">
        <f>ROUND(E35+E57+E86+E89-E67-E130+E119+E106+E122,1)</f>
        <v>117913140</v>
      </c>
      <c r="F131" s="3113">
        <f>ROUND(F35+F57+F86+F89-F67-F130+F119+F106+F122,1)</f>
        <v>70311230</v>
      </c>
      <c r="G131" s="3067">
        <f>'ANGAJ BUGETAR'!E108</f>
        <v>65723295</v>
      </c>
      <c r="H131" s="3113">
        <f>I131+J131</f>
        <v>65723295</v>
      </c>
      <c r="I131" s="3113">
        <f t="shared" ref="I131:M131" si="118">ROUND(I35+I57+I86+I89-I67-I130+I119+I106+I122,1)</f>
        <v>0</v>
      </c>
      <c r="J131" s="3060">
        <f>'ANGAJAM LEGAL '!G108</f>
        <v>65723295</v>
      </c>
      <c r="K131" s="3129">
        <f>PLATI!E108</f>
        <v>63019347</v>
      </c>
      <c r="L131" s="3113">
        <f t="shared" si="118"/>
        <v>2703948</v>
      </c>
      <c r="M131" s="3114">
        <f t="shared" si="118"/>
        <v>63090311</v>
      </c>
      <c r="N131" s="1949"/>
      <c r="O131" s="1937" t="str">
        <f t="shared" si="114"/>
        <v xml:space="preserve"> </v>
      </c>
      <c r="P131" s="1937" t="str">
        <f t="shared" si="110"/>
        <v xml:space="preserve"> </v>
      </c>
      <c r="Q131" s="723"/>
      <c r="R131" s="1939" t="str">
        <f t="shared" si="65"/>
        <v xml:space="preserve"> </v>
      </c>
      <c r="S131" s="1939" t="str">
        <f t="shared" si="62"/>
        <v xml:space="preserve"> </v>
      </c>
      <c r="T131" s="1937" t="str">
        <f t="shared" si="117"/>
        <v xml:space="preserve"> </v>
      </c>
      <c r="U131" s="1937" t="str">
        <f t="shared" si="58"/>
        <v xml:space="preserve"> </v>
      </c>
      <c r="V131" s="731"/>
    </row>
    <row r="132" spans="1:22" s="732" customFormat="1" ht="22.5">
      <c r="A132" s="3947" t="s">
        <v>1000</v>
      </c>
      <c r="B132" s="3153" t="s">
        <v>1001</v>
      </c>
      <c r="C132" s="3113"/>
      <c r="D132" s="3113"/>
      <c r="E132" s="3113"/>
      <c r="F132" s="3113"/>
      <c r="G132" s="3113">
        <f t="shared" ref="G132:K134" si="119">G133</f>
        <v>-141119</v>
      </c>
      <c r="H132" s="3113">
        <f>I132+J132</f>
        <v>-141119</v>
      </c>
      <c r="I132" s="3113">
        <f t="shared" si="119"/>
        <v>0</v>
      </c>
      <c r="J132" s="3113">
        <f t="shared" si="119"/>
        <v>-141119</v>
      </c>
      <c r="K132" s="3113">
        <f t="shared" si="119"/>
        <v>-141119</v>
      </c>
      <c r="L132" s="3113"/>
      <c r="M132" s="3114"/>
      <c r="N132" s="1949"/>
      <c r="O132" s="2473"/>
      <c r="P132" s="723"/>
      <c r="Q132" s="723"/>
      <c r="R132" s="735"/>
      <c r="S132" s="2472"/>
      <c r="T132" s="2472"/>
      <c r="U132" s="1937" t="str">
        <f t="shared" si="58"/>
        <v xml:space="preserve"> </v>
      </c>
      <c r="V132" s="731"/>
    </row>
    <row r="133" spans="1:22" s="732" customFormat="1" ht="22.5">
      <c r="A133" s="3946" t="s">
        <v>2424</v>
      </c>
      <c r="B133" s="3153" t="s">
        <v>1002</v>
      </c>
      <c r="C133" s="3113"/>
      <c r="D133" s="3113"/>
      <c r="E133" s="3113"/>
      <c r="F133" s="3113"/>
      <c r="G133" s="3113">
        <f t="shared" si="119"/>
        <v>-141119</v>
      </c>
      <c r="H133" s="3113">
        <f t="shared" ref="H133:H135" si="120">I133+J133</f>
        <v>-141119</v>
      </c>
      <c r="I133" s="3113">
        <f t="shared" si="119"/>
        <v>0</v>
      </c>
      <c r="J133" s="3113">
        <f t="shared" si="119"/>
        <v>-141119</v>
      </c>
      <c r="K133" s="3113">
        <f t="shared" si="119"/>
        <v>-141119</v>
      </c>
      <c r="L133" s="3113"/>
      <c r="M133" s="3114"/>
      <c r="N133" s="1949"/>
      <c r="O133" s="2473"/>
      <c r="P133" s="723"/>
      <c r="Q133" s="723"/>
      <c r="R133" s="735"/>
      <c r="S133" s="2472"/>
      <c r="T133" s="2472"/>
      <c r="U133" s="1937" t="str">
        <f t="shared" ref="U133:U196" si="121">IF(L133&lt;0," EROARE"," ")</f>
        <v xml:space="preserve"> </v>
      </c>
      <c r="V133" s="731"/>
    </row>
    <row r="134" spans="1:22" s="732" customFormat="1" ht="36">
      <c r="A134" s="3155" t="s">
        <v>1594</v>
      </c>
      <c r="B134" s="3156" t="s">
        <v>1004</v>
      </c>
      <c r="C134" s="3113"/>
      <c r="D134" s="3113"/>
      <c r="E134" s="3113"/>
      <c r="F134" s="3113"/>
      <c r="G134" s="3113">
        <f t="shared" si="119"/>
        <v>-141119</v>
      </c>
      <c r="H134" s="3113">
        <f t="shared" si="120"/>
        <v>-141119</v>
      </c>
      <c r="I134" s="3113">
        <f t="shared" si="119"/>
        <v>0</v>
      </c>
      <c r="J134" s="3113">
        <f t="shared" si="119"/>
        <v>-141119</v>
      </c>
      <c r="K134" s="3113">
        <f t="shared" si="119"/>
        <v>-141119</v>
      </c>
      <c r="L134" s="3113"/>
      <c r="M134" s="3114"/>
      <c r="N134" s="1949"/>
      <c r="O134" s="2473"/>
      <c r="P134" s="723"/>
      <c r="Q134" s="723"/>
      <c r="R134" s="735"/>
      <c r="S134" s="2472"/>
      <c r="T134" s="2472"/>
      <c r="U134" s="1937" t="str">
        <f t="shared" si="121"/>
        <v xml:space="preserve"> </v>
      </c>
      <c r="V134" s="731"/>
    </row>
    <row r="135" spans="1:22" s="732" customFormat="1" ht="36">
      <c r="A135" s="3155" t="s">
        <v>1594</v>
      </c>
      <c r="B135" s="3156" t="s">
        <v>1005</v>
      </c>
      <c r="C135" s="3058"/>
      <c r="D135" s="3058"/>
      <c r="E135" s="3058"/>
      <c r="F135" s="3058"/>
      <c r="G135" s="3058">
        <f>J135</f>
        <v>-141119</v>
      </c>
      <c r="H135" s="3058">
        <f t="shared" si="120"/>
        <v>-141119</v>
      </c>
      <c r="I135" s="3058"/>
      <c r="J135" s="3058">
        <f>K135</f>
        <v>-141119</v>
      </c>
      <c r="K135" s="3058">
        <f>PLATI!D11</f>
        <v>-141119</v>
      </c>
      <c r="L135" s="3058"/>
      <c r="M135" s="3126"/>
      <c r="N135" s="85"/>
      <c r="O135" s="2473"/>
      <c r="P135" s="723"/>
      <c r="Q135" s="723"/>
      <c r="R135" s="735"/>
      <c r="S135" s="2472"/>
      <c r="T135" s="2472"/>
      <c r="U135" s="1937" t="str">
        <f t="shared" si="121"/>
        <v xml:space="preserve"> </v>
      </c>
      <c r="V135" s="731"/>
    </row>
    <row r="136" spans="1:22" s="732" customFormat="1" ht="25.5">
      <c r="A136" s="3157" t="s">
        <v>1046</v>
      </c>
      <c r="B136" s="3158"/>
      <c r="C136" s="3060">
        <f t="shared" ref="C136:M136" si="122">C137+C226+C264+C267+C290+C291</f>
        <v>304582390</v>
      </c>
      <c r="D136" s="3060">
        <f t="shared" si="122"/>
        <v>199788910</v>
      </c>
      <c r="E136" s="3060">
        <f t="shared" si="122"/>
        <v>275281830</v>
      </c>
      <c r="F136" s="3060">
        <f t="shared" si="122"/>
        <v>167538840</v>
      </c>
      <c r="G136" s="3060">
        <f>G137+G226+G264+G267+G290+G291</f>
        <v>275162054</v>
      </c>
      <c r="H136" s="3060">
        <f t="shared" si="122"/>
        <v>362754687</v>
      </c>
      <c r="I136" s="3060">
        <f t="shared" si="122"/>
        <v>63537794</v>
      </c>
      <c r="J136" s="3060">
        <f t="shared" si="122"/>
        <v>299216893</v>
      </c>
      <c r="K136" s="3060">
        <f t="shared" si="122"/>
        <v>167175831</v>
      </c>
      <c r="L136" s="3060">
        <f t="shared" si="122"/>
        <v>195578856</v>
      </c>
      <c r="M136" s="3068">
        <f t="shared" si="122"/>
        <v>134168267</v>
      </c>
      <c r="N136" s="1953"/>
      <c r="O136" s="1942" t="str">
        <f t="shared" ref="O136" si="123">IF(F136&lt;K136," EROARE"," ")</f>
        <v xml:space="preserve"> </v>
      </c>
      <c r="P136" s="1937" t="str">
        <f t="shared" ref="P136:P199" si="124">IF(E136&lt;G136," EROARE"," ")</f>
        <v xml:space="preserve"> </v>
      </c>
      <c r="Q136" s="723"/>
      <c r="R136" s="1939" t="str">
        <f t="shared" ref="R136:R199" si="125">IF(C136&lt;J136," EROARE"," ")</f>
        <v xml:space="preserve"> </v>
      </c>
      <c r="S136" s="1939" t="str">
        <f t="shared" ref="S136" si="126">IF(G136&lt;K136," EROARE"," ")</f>
        <v xml:space="preserve"> </v>
      </c>
      <c r="T136" s="1943" t="str">
        <f t="shared" ref="T136" si="127">IF(H136&lt;K136," EROARE"," ")</f>
        <v xml:space="preserve"> </v>
      </c>
      <c r="U136" s="1937" t="str">
        <f t="shared" si="121"/>
        <v xml:space="preserve"> </v>
      </c>
      <c r="V136" s="731"/>
    </row>
    <row r="137" spans="1:22" s="732" customFormat="1" ht="38.25">
      <c r="A137" s="3150" t="s">
        <v>826</v>
      </c>
      <c r="B137" s="3151" t="s">
        <v>827</v>
      </c>
      <c r="C137" s="3113">
        <f>ROUND(+C138+C153+C190+C220+C223,1)</f>
        <v>106660850</v>
      </c>
      <c r="D137" s="3113">
        <f>ROUND(+D138+D153+D190+D220+D223,1)</f>
        <v>83845370</v>
      </c>
      <c r="E137" s="3113">
        <f>ROUND(+E138+E153+E190+E220+E223,1)</f>
        <v>108230980</v>
      </c>
      <c r="F137" s="3113">
        <f>ROUND(+F138+F153+F190+F220+F223,1)</f>
        <v>82700720</v>
      </c>
      <c r="G137" s="3113">
        <f t="shared" ref="G137:M137" si="128">ROUND(+G138+G153+G190+G220+G223,1)</f>
        <v>108223330</v>
      </c>
      <c r="H137" s="3113">
        <f t="shared" si="128"/>
        <v>155627017</v>
      </c>
      <c r="I137" s="3113">
        <f t="shared" si="128"/>
        <v>48973817</v>
      </c>
      <c r="J137" s="3113">
        <f t="shared" si="128"/>
        <v>106653200</v>
      </c>
      <c r="K137" s="3113">
        <f t="shared" si="128"/>
        <v>82664626</v>
      </c>
      <c r="L137" s="3113">
        <f t="shared" si="128"/>
        <v>72962391</v>
      </c>
      <c r="M137" s="3114">
        <f t="shared" si="128"/>
        <v>63467368</v>
      </c>
      <c r="N137" s="1949"/>
      <c r="O137" s="1937" t="str">
        <f t="shared" si="114"/>
        <v xml:space="preserve"> </v>
      </c>
      <c r="P137" s="1937" t="str">
        <f t="shared" si="124"/>
        <v xml:space="preserve"> </v>
      </c>
      <c r="Q137" s="723"/>
      <c r="R137" s="1939" t="str">
        <f t="shared" si="125"/>
        <v xml:space="preserve"> </v>
      </c>
      <c r="S137" s="1939" t="str">
        <f t="shared" ref="S137" si="129">IF(G137&lt;K137," EROARE"," ")</f>
        <v xml:space="preserve"> </v>
      </c>
      <c r="T137" s="1937" t="str">
        <f t="shared" si="66"/>
        <v xml:space="preserve"> </v>
      </c>
      <c r="U137" s="1937" t="str">
        <f t="shared" si="121"/>
        <v xml:space="preserve"> </v>
      </c>
      <c r="V137" s="731"/>
    </row>
    <row r="138" spans="1:22" s="728" customFormat="1" ht="25.5">
      <c r="A138" s="3146" t="s">
        <v>1595</v>
      </c>
      <c r="B138" s="3052" t="s">
        <v>829</v>
      </c>
      <c r="C138" s="3060">
        <f>C139+C140+C141+C142+C143+C144+C147</f>
        <v>53312170</v>
      </c>
      <c r="D138" s="3060">
        <f>D139+D140+D141+D142+D143+D144+D147</f>
        <v>41849340</v>
      </c>
      <c r="E138" s="3060">
        <f>E139+E140+E141+E142+E143+E144+E147</f>
        <v>53985420</v>
      </c>
      <c r="F138" s="3060">
        <f>F139+F140+F141+F142+F143+F144+F147</f>
        <v>38279420</v>
      </c>
      <c r="G138" s="3060">
        <f t="shared" ref="G138:M138" si="130">G139+G140+G141+G142+G143+G144+G147</f>
        <v>53977770</v>
      </c>
      <c r="H138" s="3060">
        <f t="shared" si="130"/>
        <v>80951194</v>
      </c>
      <c r="I138" s="3060">
        <f t="shared" si="130"/>
        <v>27646674</v>
      </c>
      <c r="J138" s="3060">
        <f t="shared" si="130"/>
        <v>53304520</v>
      </c>
      <c r="K138" s="3060">
        <f t="shared" si="130"/>
        <v>38247510</v>
      </c>
      <c r="L138" s="3060">
        <f t="shared" si="130"/>
        <v>42703684</v>
      </c>
      <c r="M138" s="3068">
        <f t="shared" si="130"/>
        <v>30388012</v>
      </c>
      <c r="N138" s="1950"/>
      <c r="O138" s="1937" t="str">
        <f t="shared" ref="O138:O201" si="131">IF(F138&lt;K138," EROARE"," ")</f>
        <v xml:space="preserve"> </v>
      </c>
      <c r="P138" s="1937" t="str">
        <f t="shared" si="124"/>
        <v xml:space="preserve"> </v>
      </c>
      <c r="Q138" s="723"/>
      <c r="R138" s="1939" t="str">
        <f t="shared" si="125"/>
        <v xml:space="preserve"> </v>
      </c>
      <c r="S138" s="1939" t="str">
        <f t="shared" ref="S138:S201" si="132">IF(G138&lt;K138," EROARE"," ")</f>
        <v xml:space="preserve"> </v>
      </c>
      <c r="T138" s="1937" t="str">
        <f t="shared" ref="T138:T201" si="133">IF(H138&lt;K138," EROARE"," ")</f>
        <v xml:space="preserve"> </v>
      </c>
      <c r="U138" s="1937" t="str">
        <f t="shared" si="121"/>
        <v xml:space="preserve"> </v>
      </c>
      <c r="V138" s="727"/>
    </row>
    <row r="139" spans="1:22" s="728" customFormat="1" ht="18" customHeight="1">
      <c r="A139" s="3159" t="s">
        <v>1539</v>
      </c>
      <c r="B139" s="3044"/>
      <c r="C139" s="3053">
        <v>47672000</v>
      </c>
      <c r="D139" s="3053">
        <v>37111980</v>
      </c>
      <c r="E139" s="3053">
        <v>48107000</v>
      </c>
      <c r="F139" s="3053">
        <v>33539000</v>
      </c>
      <c r="G139" s="3117">
        <f>'ANGAJ BUGETAR'!E116</f>
        <v>48099350</v>
      </c>
      <c r="H139" s="3117">
        <f>I139+J139</f>
        <v>72874599</v>
      </c>
      <c r="I139" s="3117">
        <f>'ANGAJAM LEGAL '!D116</f>
        <v>25210249</v>
      </c>
      <c r="J139" s="3117">
        <f>'ANGAJAM LEGAL '!G116</f>
        <v>47664350</v>
      </c>
      <c r="K139" s="3117">
        <f>PLATI!E116</f>
        <v>33531350</v>
      </c>
      <c r="L139" s="3117">
        <f>H139-K139</f>
        <v>39343249</v>
      </c>
      <c r="M139" s="3055">
        <v>26605704</v>
      </c>
      <c r="N139" s="1952"/>
      <c r="O139" s="1937" t="str">
        <f t="shared" si="131"/>
        <v xml:space="preserve"> </v>
      </c>
      <c r="P139" s="1937" t="str">
        <f t="shared" si="124"/>
        <v xml:space="preserve"> </v>
      </c>
      <c r="Q139" s="723"/>
      <c r="R139" s="1939" t="str">
        <f t="shared" si="125"/>
        <v xml:space="preserve"> </v>
      </c>
      <c r="S139" s="1939" t="str">
        <f t="shared" si="132"/>
        <v xml:space="preserve"> </v>
      </c>
      <c r="T139" s="1937" t="str">
        <f t="shared" si="133"/>
        <v xml:space="preserve"> </v>
      </c>
      <c r="U139" s="1937" t="str">
        <f t="shared" si="121"/>
        <v xml:space="preserve"> </v>
      </c>
      <c r="V139" s="727"/>
    </row>
    <row r="140" spans="1:22" s="728" customFormat="1" ht="87" customHeight="1">
      <c r="A140" s="3159" t="s">
        <v>2451</v>
      </c>
      <c r="B140" s="3044"/>
      <c r="C140" s="3053"/>
      <c r="D140" s="3053"/>
      <c r="E140" s="3053"/>
      <c r="F140" s="3053"/>
      <c r="G140" s="3117">
        <f>'ANGAJ BUGETAR'!E117</f>
        <v>0</v>
      </c>
      <c r="H140" s="3117">
        <f t="shared" ref="H140:H141" si="134">I140+J140</f>
        <v>0</v>
      </c>
      <c r="I140" s="3117">
        <f>'ANGAJAM LEGAL '!D117</f>
        <v>0</v>
      </c>
      <c r="J140" s="3117">
        <f>'ANGAJAM LEGAL '!G117</f>
        <v>0</v>
      </c>
      <c r="K140" s="3117">
        <f>PLATI!E117</f>
        <v>0</v>
      </c>
      <c r="L140" s="3117">
        <f t="shared" ref="L140:L141" si="135">ROUND(H140-K140,1)</f>
        <v>0</v>
      </c>
      <c r="M140" s="3055"/>
      <c r="N140" s="1952"/>
      <c r="O140" s="1937" t="str">
        <f t="shared" si="131"/>
        <v xml:space="preserve"> </v>
      </c>
      <c r="P140" s="1937" t="str">
        <f t="shared" si="124"/>
        <v xml:space="preserve"> </v>
      </c>
      <c r="Q140" s="723"/>
      <c r="R140" s="1939" t="str">
        <f t="shared" si="125"/>
        <v xml:space="preserve"> </v>
      </c>
      <c r="S140" s="1939" t="str">
        <f t="shared" si="132"/>
        <v xml:space="preserve"> </v>
      </c>
      <c r="T140" s="1937" t="str">
        <f t="shared" si="133"/>
        <v xml:space="preserve"> </v>
      </c>
      <c r="U140" s="1937" t="str">
        <f t="shared" si="121"/>
        <v xml:space="preserve"> </v>
      </c>
      <c r="V140" s="727"/>
    </row>
    <row r="141" spans="1:22" s="728" customFormat="1" ht="121.9" customHeight="1">
      <c r="A141" s="3209" t="s">
        <v>2452</v>
      </c>
      <c r="B141" s="3187"/>
      <c r="C141" s="3203"/>
      <c r="D141" s="3203"/>
      <c r="E141" s="3203"/>
      <c r="F141" s="3203"/>
      <c r="G141" s="3210">
        <f>'ANGAJ BUGETAR'!E118</f>
        <v>0</v>
      </c>
      <c r="H141" s="3210">
        <f t="shared" si="134"/>
        <v>0</v>
      </c>
      <c r="I141" s="3210">
        <f>'ANGAJAM LEGAL '!D118</f>
        <v>0</v>
      </c>
      <c r="J141" s="3210">
        <f>'ANGAJAM LEGAL '!G118</f>
        <v>0</v>
      </c>
      <c r="K141" s="3210">
        <f>PLATI!E118</f>
        <v>0</v>
      </c>
      <c r="L141" s="3210">
        <f t="shared" si="135"/>
        <v>0</v>
      </c>
      <c r="M141" s="3204"/>
      <c r="N141" s="1952"/>
      <c r="O141" s="1937" t="str">
        <f t="shared" si="131"/>
        <v xml:space="preserve"> </v>
      </c>
      <c r="P141" s="1937" t="str">
        <f t="shared" si="124"/>
        <v xml:space="preserve"> </v>
      </c>
      <c r="Q141" s="723"/>
      <c r="R141" s="1939" t="str">
        <f t="shared" si="125"/>
        <v xml:space="preserve"> </v>
      </c>
      <c r="S141" s="1939" t="str">
        <f t="shared" si="132"/>
        <v xml:space="preserve"> </v>
      </c>
      <c r="T141" s="1937" t="str">
        <f t="shared" si="133"/>
        <v xml:space="preserve"> </v>
      </c>
      <c r="U141" s="1937" t="str">
        <f t="shared" si="121"/>
        <v xml:space="preserve"> </v>
      </c>
      <c r="V141" s="727"/>
    </row>
    <row r="142" spans="1:22" s="728" customFormat="1" ht="55.9" customHeight="1">
      <c r="A142" s="3938" t="s">
        <v>1795</v>
      </c>
      <c r="B142" s="2719"/>
      <c r="C142" s="3206">
        <v>763000</v>
      </c>
      <c r="D142" s="3206">
        <v>418000</v>
      </c>
      <c r="E142" s="3206">
        <v>760000</v>
      </c>
      <c r="F142" s="3206">
        <v>418000</v>
      </c>
      <c r="G142" s="3207">
        <f>'ANGAJ BUGETAR'!E119</f>
        <v>760000</v>
      </c>
      <c r="H142" s="3207">
        <f t="shared" ref="H142:H143" si="136">I142+J142</f>
        <v>892182</v>
      </c>
      <c r="I142" s="3207">
        <f>'ANGAJAM LEGAL '!D119</f>
        <v>129182</v>
      </c>
      <c r="J142" s="3207">
        <f>'ANGAJAM LEGAL '!G119</f>
        <v>763000</v>
      </c>
      <c r="K142" s="3207">
        <f>PLATI!E119</f>
        <v>400022</v>
      </c>
      <c r="L142" s="3207">
        <f t="shared" ref="L142:L143" si="137">H142-K142</f>
        <v>492160</v>
      </c>
      <c r="M142" s="3208">
        <v>340899</v>
      </c>
      <c r="N142" s="1952"/>
      <c r="O142" s="1937" t="str">
        <f t="shared" si="131"/>
        <v xml:space="preserve"> </v>
      </c>
      <c r="P142" s="1937" t="str">
        <f t="shared" si="124"/>
        <v xml:space="preserve"> </v>
      </c>
      <c r="Q142" s="723"/>
      <c r="R142" s="1939" t="str">
        <f t="shared" si="125"/>
        <v xml:space="preserve"> </v>
      </c>
      <c r="S142" s="1939" t="str">
        <f t="shared" si="132"/>
        <v xml:space="preserve"> </v>
      </c>
      <c r="T142" s="1937" t="str">
        <f t="shared" si="133"/>
        <v xml:space="preserve"> </v>
      </c>
      <c r="U142" s="1937" t="str">
        <f t="shared" si="121"/>
        <v xml:space="preserve"> </v>
      </c>
      <c r="V142" s="727"/>
    </row>
    <row r="143" spans="1:22" s="728" customFormat="1">
      <c r="A143" s="3159" t="s">
        <v>1540</v>
      </c>
      <c r="B143" s="3044"/>
      <c r="C143" s="3053">
        <v>7000</v>
      </c>
      <c r="D143" s="3053">
        <v>4000</v>
      </c>
      <c r="E143" s="3053">
        <v>7000</v>
      </c>
      <c r="F143" s="3053">
        <v>4000</v>
      </c>
      <c r="G143" s="3117">
        <f>'ANGAJ BUGETAR'!E120</f>
        <v>7000</v>
      </c>
      <c r="H143" s="3117">
        <f t="shared" si="136"/>
        <v>7000</v>
      </c>
      <c r="I143" s="3117">
        <f>'ANGAJAM LEGAL '!D120</f>
        <v>0</v>
      </c>
      <c r="J143" s="3117">
        <f>'ANGAJAM LEGAL '!G120</f>
        <v>7000</v>
      </c>
      <c r="K143" s="3117">
        <f>PLATI!E120</f>
        <v>3417</v>
      </c>
      <c r="L143" s="3117">
        <f t="shared" si="137"/>
        <v>3583</v>
      </c>
      <c r="M143" s="3055">
        <v>3417</v>
      </c>
      <c r="N143" s="1952"/>
      <c r="O143" s="1937" t="str">
        <f t="shared" si="131"/>
        <v xml:space="preserve"> </v>
      </c>
      <c r="P143" s="1937" t="str">
        <f t="shared" si="124"/>
        <v xml:space="preserve"> </v>
      </c>
      <c r="Q143" s="723"/>
      <c r="R143" s="1939" t="str">
        <f t="shared" si="125"/>
        <v xml:space="preserve"> </v>
      </c>
      <c r="S143" s="1939" t="str">
        <f t="shared" si="132"/>
        <v xml:space="preserve"> </v>
      </c>
      <c r="T143" s="1937" t="str">
        <f t="shared" si="133"/>
        <v xml:space="preserve"> </v>
      </c>
      <c r="U143" s="1937" t="str">
        <f t="shared" si="121"/>
        <v xml:space="preserve"> </v>
      </c>
      <c r="V143" s="727"/>
    </row>
    <row r="144" spans="1:22" s="728" customFormat="1" ht="22.15" customHeight="1">
      <c r="A144" s="3160" t="s">
        <v>2453</v>
      </c>
      <c r="B144" s="3044"/>
      <c r="C144" s="3117">
        <f>C145+C146</f>
        <v>0</v>
      </c>
      <c r="D144" s="3117">
        <f t="shared" ref="D144:M144" si="138">D145+D146</f>
        <v>0</v>
      </c>
      <c r="E144" s="3117">
        <f t="shared" si="138"/>
        <v>0</v>
      </c>
      <c r="F144" s="3117">
        <f t="shared" si="138"/>
        <v>0</v>
      </c>
      <c r="G144" s="3117">
        <f t="shared" si="138"/>
        <v>0</v>
      </c>
      <c r="H144" s="3117">
        <f t="shared" si="138"/>
        <v>0</v>
      </c>
      <c r="I144" s="3117">
        <f t="shared" si="138"/>
        <v>0</v>
      </c>
      <c r="J144" s="3117">
        <f t="shared" si="138"/>
        <v>0</v>
      </c>
      <c r="K144" s="3117">
        <f t="shared" si="138"/>
        <v>0</v>
      </c>
      <c r="L144" s="3117">
        <f t="shared" si="138"/>
        <v>0</v>
      </c>
      <c r="M144" s="3161">
        <f t="shared" si="138"/>
        <v>0</v>
      </c>
      <c r="N144" s="1952"/>
      <c r="O144" s="1937" t="str">
        <f t="shared" si="131"/>
        <v xml:space="preserve"> </v>
      </c>
      <c r="P144" s="1937" t="str">
        <f t="shared" si="124"/>
        <v xml:space="preserve"> </v>
      </c>
      <c r="Q144" s="723"/>
      <c r="R144" s="1939" t="str">
        <f t="shared" si="125"/>
        <v xml:space="preserve"> </v>
      </c>
      <c r="S144" s="1939" t="str">
        <f t="shared" si="132"/>
        <v xml:space="preserve"> </v>
      </c>
      <c r="T144" s="1937" t="str">
        <f t="shared" si="133"/>
        <v xml:space="preserve"> </v>
      </c>
      <c r="U144" s="1937" t="str">
        <f t="shared" si="121"/>
        <v xml:space="preserve"> </v>
      </c>
      <c r="V144" s="727"/>
    </row>
    <row r="145" spans="1:22" s="728" customFormat="1" ht="18" customHeight="1">
      <c r="A145" s="3160" t="s">
        <v>1539</v>
      </c>
      <c r="B145" s="3044"/>
      <c r="C145" s="3053"/>
      <c r="D145" s="3053"/>
      <c r="E145" s="3053"/>
      <c r="F145" s="3053"/>
      <c r="G145" s="3117">
        <f>'ANGAJ BUGETAR'!E122</f>
        <v>0</v>
      </c>
      <c r="H145" s="3117">
        <f t="shared" ref="H145:H146" si="139">I145+J145</f>
        <v>0</v>
      </c>
      <c r="I145" s="3117">
        <f>'ANGAJAM LEGAL '!D122</f>
        <v>0</v>
      </c>
      <c r="J145" s="3117">
        <f>'ANGAJAM LEGAL '!G122</f>
        <v>0</v>
      </c>
      <c r="K145" s="3117">
        <f>PLATI!E122</f>
        <v>0</v>
      </c>
      <c r="L145" s="3117">
        <f t="shared" ref="L145:L146" si="140">ROUND(H145-K145,1)</f>
        <v>0</v>
      </c>
      <c r="M145" s="3055"/>
      <c r="N145" s="1952"/>
      <c r="O145" s="1937" t="str">
        <f t="shared" si="131"/>
        <v xml:space="preserve"> </v>
      </c>
      <c r="P145" s="1937" t="str">
        <f t="shared" si="124"/>
        <v xml:space="preserve"> </v>
      </c>
      <c r="Q145" s="723"/>
      <c r="R145" s="1939" t="str">
        <f t="shared" si="125"/>
        <v xml:space="preserve"> </v>
      </c>
      <c r="S145" s="1939" t="str">
        <f t="shared" si="132"/>
        <v xml:space="preserve"> </v>
      </c>
      <c r="T145" s="1937" t="str">
        <f t="shared" si="133"/>
        <v xml:space="preserve"> </v>
      </c>
      <c r="U145" s="1937" t="str">
        <f t="shared" si="121"/>
        <v xml:space="preserve"> </v>
      </c>
      <c r="V145" s="727"/>
    </row>
    <row r="146" spans="1:22" s="728" customFormat="1" ht="96">
      <c r="A146" s="3160" t="s">
        <v>2452</v>
      </c>
      <c r="B146" s="3044"/>
      <c r="C146" s="3053"/>
      <c r="D146" s="3053"/>
      <c r="E146" s="3053"/>
      <c r="F146" s="3053"/>
      <c r="G146" s="3117">
        <f>'ANGAJ BUGETAR'!E123</f>
        <v>0</v>
      </c>
      <c r="H146" s="3117">
        <f t="shared" si="139"/>
        <v>0</v>
      </c>
      <c r="I146" s="3117">
        <f>'ANGAJAM LEGAL '!D123</f>
        <v>0</v>
      </c>
      <c r="J146" s="3117">
        <f>'ANGAJAM LEGAL '!G123</f>
        <v>0</v>
      </c>
      <c r="K146" s="3117">
        <f>PLATI!E123</f>
        <v>0</v>
      </c>
      <c r="L146" s="3117">
        <f t="shared" si="140"/>
        <v>0</v>
      </c>
      <c r="M146" s="3055"/>
      <c r="N146" s="1952"/>
      <c r="O146" s="1937" t="str">
        <f t="shared" si="131"/>
        <v xml:space="preserve"> </v>
      </c>
      <c r="P146" s="1937" t="str">
        <f t="shared" si="124"/>
        <v xml:space="preserve"> </v>
      </c>
      <c r="Q146" s="723"/>
      <c r="R146" s="1939" t="str">
        <f t="shared" si="125"/>
        <v xml:space="preserve"> </v>
      </c>
      <c r="S146" s="1939" t="str">
        <f t="shared" si="132"/>
        <v xml:space="preserve"> </v>
      </c>
      <c r="T146" s="1937" t="str">
        <f t="shared" si="133"/>
        <v xml:space="preserve"> </v>
      </c>
      <c r="U146" s="1937" t="str">
        <f t="shared" si="121"/>
        <v xml:space="preserve"> </v>
      </c>
      <c r="V146" s="727"/>
    </row>
    <row r="147" spans="1:22" s="1882" customFormat="1" ht="18" customHeight="1">
      <c r="A147" s="3162" t="s">
        <v>2197</v>
      </c>
      <c r="B147" s="3163"/>
      <c r="C147" s="3164">
        <f t="shared" ref="C147:D147" si="141">C148+C151+C152</f>
        <v>4870170</v>
      </c>
      <c r="D147" s="3164">
        <f t="shared" si="141"/>
        <v>4315360</v>
      </c>
      <c r="E147" s="3164">
        <f>E148+E151+E152</f>
        <v>5111420</v>
      </c>
      <c r="F147" s="3164">
        <f t="shared" ref="F147:M147" si="142">F148+F151+F152</f>
        <v>4318420</v>
      </c>
      <c r="G147" s="3164">
        <f t="shared" si="142"/>
        <v>5111420</v>
      </c>
      <c r="H147" s="3164">
        <f t="shared" si="142"/>
        <v>7177413</v>
      </c>
      <c r="I147" s="3164">
        <f t="shared" si="142"/>
        <v>2307243</v>
      </c>
      <c r="J147" s="3164">
        <f t="shared" si="142"/>
        <v>4870170</v>
      </c>
      <c r="K147" s="3164">
        <f t="shared" si="142"/>
        <v>4312721</v>
      </c>
      <c r="L147" s="3164">
        <f t="shared" si="142"/>
        <v>2864692</v>
      </c>
      <c r="M147" s="3165">
        <f t="shared" si="142"/>
        <v>3437992</v>
      </c>
      <c r="N147" s="1954"/>
      <c r="O147" s="1937" t="str">
        <f t="shared" si="131"/>
        <v xml:space="preserve"> </v>
      </c>
      <c r="P147" s="1937" t="str">
        <f t="shared" si="124"/>
        <v xml:space="preserve"> </v>
      </c>
      <c r="Q147" s="723"/>
      <c r="R147" s="1939" t="str">
        <f t="shared" si="125"/>
        <v xml:space="preserve"> </v>
      </c>
      <c r="S147" s="1939" t="str">
        <f t="shared" si="132"/>
        <v xml:space="preserve"> </v>
      </c>
      <c r="T147" s="1937" t="str">
        <f t="shared" si="133"/>
        <v xml:space="preserve"> </v>
      </c>
      <c r="U147" s="1937" t="str">
        <f t="shared" si="121"/>
        <v xml:space="preserve"> </v>
      </c>
      <c r="V147" s="1881"/>
    </row>
    <row r="148" spans="1:22" s="728" customFormat="1" ht="33.75">
      <c r="A148" s="3166" t="s">
        <v>2198</v>
      </c>
      <c r="B148" s="3044"/>
      <c r="C148" s="3117">
        <f t="shared" ref="C148:D148" si="143">C149+C150</f>
        <v>4563860</v>
      </c>
      <c r="D148" s="3117">
        <f t="shared" si="143"/>
        <v>4065600</v>
      </c>
      <c r="E148" s="3117">
        <f>E149+E150</f>
        <v>4789770</v>
      </c>
      <c r="F148" s="3117">
        <f t="shared" ref="F148:M148" si="144">F149+F150</f>
        <v>4099770</v>
      </c>
      <c r="G148" s="3117">
        <f t="shared" si="144"/>
        <v>4789770</v>
      </c>
      <c r="H148" s="3117">
        <f t="shared" si="144"/>
        <v>6766496</v>
      </c>
      <c r="I148" s="3117">
        <f t="shared" si="144"/>
        <v>2202636</v>
      </c>
      <c r="J148" s="3117">
        <f t="shared" si="144"/>
        <v>4563860</v>
      </c>
      <c r="K148" s="3117">
        <f t="shared" si="144"/>
        <v>4099769</v>
      </c>
      <c r="L148" s="3117">
        <f t="shared" si="144"/>
        <v>2666727</v>
      </c>
      <c r="M148" s="3161">
        <f t="shared" si="144"/>
        <v>3242805</v>
      </c>
      <c r="N148" s="1952"/>
      <c r="O148" s="1937" t="str">
        <f t="shared" si="131"/>
        <v xml:space="preserve"> </v>
      </c>
      <c r="P148" s="1937" t="str">
        <f t="shared" si="124"/>
        <v xml:space="preserve"> </v>
      </c>
      <c r="Q148" s="723"/>
      <c r="R148" s="1939" t="str">
        <f t="shared" si="125"/>
        <v xml:space="preserve"> </v>
      </c>
      <c r="S148" s="1939" t="str">
        <f t="shared" si="132"/>
        <v xml:space="preserve"> </v>
      </c>
      <c r="T148" s="1937" t="str">
        <f t="shared" si="133"/>
        <v xml:space="preserve"> </v>
      </c>
      <c r="U148" s="1937" t="str">
        <f t="shared" si="121"/>
        <v xml:space="preserve"> </v>
      </c>
      <c r="V148" s="727"/>
    </row>
    <row r="149" spans="1:22" s="728" customFormat="1" ht="18" customHeight="1">
      <c r="A149" s="3166" t="s">
        <v>2454</v>
      </c>
      <c r="B149" s="3044"/>
      <c r="C149" s="3053">
        <v>4563860</v>
      </c>
      <c r="D149" s="3053">
        <v>4065600</v>
      </c>
      <c r="E149" s="3053">
        <v>4789770</v>
      </c>
      <c r="F149" s="3053">
        <v>4099770</v>
      </c>
      <c r="G149" s="3117">
        <f>'ANGAJ BUGETAR'!E126</f>
        <v>4789770</v>
      </c>
      <c r="H149" s="3117">
        <f t="shared" ref="H149:H150" si="145">I149+J149</f>
        <v>6766496</v>
      </c>
      <c r="I149" s="3117">
        <f>'ANGAJAM LEGAL '!D126</f>
        <v>2202636</v>
      </c>
      <c r="J149" s="3117">
        <f>'ANGAJAM LEGAL '!G126</f>
        <v>4563860</v>
      </c>
      <c r="K149" s="3117">
        <f>PLATI!E126</f>
        <v>4099769</v>
      </c>
      <c r="L149" s="3117">
        <f t="shared" ref="L149:L150" si="146">ROUND(H149-K149,1)</f>
        <v>2666727</v>
      </c>
      <c r="M149" s="3055">
        <v>3242805</v>
      </c>
      <c r="N149" s="1952"/>
      <c r="O149" s="1937" t="str">
        <f t="shared" si="131"/>
        <v xml:space="preserve"> </v>
      </c>
      <c r="P149" s="1937" t="str">
        <f t="shared" si="124"/>
        <v xml:space="preserve"> </v>
      </c>
      <c r="Q149" s="723"/>
      <c r="R149" s="1939" t="str">
        <f t="shared" si="125"/>
        <v xml:space="preserve"> </v>
      </c>
      <c r="S149" s="1939" t="str">
        <f t="shared" si="132"/>
        <v xml:space="preserve"> </v>
      </c>
      <c r="T149" s="1937" t="str">
        <f t="shared" si="133"/>
        <v xml:space="preserve"> </v>
      </c>
      <c r="U149" s="1937" t="str">
        <f t="shared" si="121"/>
        <v xml:space="preserve"> </v>
      </c>
      <c r="V149" s="727"/>
    </row>
    <row r="150" spans="1:22" s="728" customFormat="1" ht="78.75">
      <c r="A150" s="3166" t="s">
        <v>2452</v>
      </c>
      <c r="B150" s="3044"/>
      <c r="C150" s="3053"/>
      <c r="D150" s="3053"/>
      <c r="E150" s="3053"/>
      <c r="F150" s="3053"/>
      <c r="G150" s="3117">
        <f>'ANGAJ BUGETAR'!E127</f>
        <v>0</v>
      </c>
      <c r="H150" s="3117">
        <f t="shared" si="145"/>
        <v>0</v>
      </c>
      <c r="I150" s="3117">
        <f>'ANGAJAM LEGAL '!D127</f>
        <v>0</v>
      </c>
      <c r="J150" s="3117">
        <f>'ANGAJAM LEGAL '!G127</f>
        <v>0</v>
      </c>
      <c r="K150" s="3117">
        <f>PLATI!E127</f>
        <v>0</v>
      </c>
      <c r="L150" s="3117">
        <f t="shared" si="146"/>
        <v>0</v>
      </c>
      <c r="M150" s="3055"/>
      <c r="N150" s="1952"/>
      <c r="O150" s="1937" t="str">
        <f t="shared" si="131"/>
        <v xml:space="preserve"> </v>
      </c>
      <c r="P150" s="1937" t="str">
        <f t="shared" si="124"/>
        <v xml:space="preserve"> </v>
      </c>
      <c r="Q150" s="723"/>
      <c r="R150" s="1939" t="str">
        <f t="shared" si="125"/>
        <v xml:space="preserve"> </v>
      </c>
      <c r="S150" s="1939" t="str">
        <f t="shared" si="132"/>
        <v xml:space="preserve"> </v>
      </c>
      <c r="T150" s="1937" t="str">
        <f t="shared" si="133"/>
        <v xml:space="preserve"> </v>
      </c>
      <c r="U150" s="1937" t="str">
        <f t="shared" si="121"/>
        <v xml:space="preserve"> </v>
      </c>
      <c r="V150" s="727"/>
    </row>
    <row r="151" spans="1:22" s="728" customFormat="1" ht="67.5">
      <c r="A151" s="3167" t="s">
        <v>2199</v>
      </c>
      <c r="B151" s="3044"/>
      <c r="C151" s="3053">
        <v>153620</v>
      </c>
      <c r="D151" s="3053">
        <v>138750</v>
      </c>
      <c r="E151" s="3053">
        <v>158650</v>
      </c>
      <c r="F151" s="3053">
        <v>120650</v>
      </c>
      <c r="G151" s="3117">
        <f>'ANGAJ BUGETAR'!E128</f>
        <v>158650</v>
      </c>
      <c r="H151" s="3117">
        <f t="shared" ref="H151:H152" si="147">I151+J151</f>
        <v>211864</v>
      </c>
      <c r="I151" s="3117">
        <f>'ANGAJAM LEGAL '!D128</f>
        <v>58244</v>
      </c>
      <c r="J151" s="3117">
        <f>'ANGAJAM LEGAL '!G128</f>
        <v>153620</v>
      </c>
      <c r="K151" s="3117">
        <f>PLATI!E128</f>
        <v>120642</v>
      </c>
      <c r="L151" s="3117">
        <f t="shared" ref="L151:L152" si="148">H151-K151</f>
        <v>91222</v>
      </c>
      <c r="M151" s="3055">
        <v>108436</v>
      </c>
      <c r="N151" s="1952"/>
      <c r="O151" s="1937" t="str">
        <f t="shared" si="131"/>
        <v xml:space="preserve"> </v>
      </c>
      <c r="P151" s="1937" t="str">
        <f t="shared" si="124"/>
        <v xml:space="preserve"> </v>
      </c>
      <c r="Q151" s="723"/>
      <c r="R151" s="1939" t="str">
        <f t="shared" si="125"/>
        <v xml:space="preserve"> </v>
      </c>
      <c r="S151" s="1939" t="str">
        <f t="shared" si="132"/>
        <v xml:space="preserve"> </v>
      </c>
      <c r="T151" s="1937" t="str">
        <f t="shared" si="133"/>
        <v xml:space="preserve"> </v>
      </c>
      <c r="U151" s="1937" t="str">
        <f t="shared" si="121"/>
        <v xml:space="preserve"> </v>
      </c>
      <c r="V151" s="727"/>
    </row>
    <row r="152" spans="1:22" s="728" customFormat="1" ht="67.5">
      <c r="A152" s="3167" t="s">
        <v>2200</v>
      </c>
      <c r="B152" s="3044"/>
      <c r="C152" s="3053">
        <v>152690</v>
      </c>
      <c r="D152" s="3053">
        <v>111010</v>
      </c>
      <c r="E152" s="3053">
        <v>163000</v>
      </c>
      <c r="F152" s="3053">
        <v>98000</v>
      </c>
      <c r="G152" s="3117">
        <f>'ANGAJ BUGETAR'!E129</f>
        <v>163000</v>
      </c>
      <c r="H152" s="3117">
        <f t="shared" si="147"/>
        <v>199053</v>
      </c>
      <c r="I152" s="3117">
        <f>'ANGAJAM LEGAL '!D129</f>
        <v>46363</v>
      </c>
      <c r="J152" s="3117">
        <f>'ANGAJAM LEGAL '!G129</f>
        <v>152690</v>
      </c>
      <c r="K152" s="3117">
        <f>PLATI!E129</f>
        <v>92310</v>
      </c>
      <c r="L152" s="3117">
        <f t="shared" si="148"/>
        <v>106743</v>
      </c>
      <c r="M152" s="3055">
        <v>86751</v>
      </c>
      <c r="N152" s="1952"/>
      <c r="O152" s="1937" t="str">
        <f t="shared" si="131"/>
        <v xml:space="preserve"> </v>
      </c>
      <c r="P152" s="1937" t="str">
        <f t="shared" si="124"/>
        <v xml:space="preserve"> </v>
      </c>
      <c r="Q152" s="723"/>
      <c r="R152" s="1939" t="str">
        <f t="shared" si="125"/>
        <v xml:space="preserve"> </v>
      </c>
      <c r="S152" s="1939" t="str">
        <f t="shared" si="132"/>
        <v xml:space="preserve"> </v>
      </c>
      <c r="T152" s="1937" t="str">
        <f t="shared" si="133"/>
        <v xml:space="preserve"> </v>
      </c>
      <c r="U152" s="1937" t="str">
        <f t="shared" si="121"/>
        <v xml:space="preserve"> </v>
      </c>
      <c r="V152" s="727"/>
    </row>
    <row r="153" spans="1:22" s="728" customFormat="1" ht="51">
      <c r="A153" s="3146" t="s">
        <v>1596</v>
      </c>
      <c r="B153" s="3052" t="s">
        <v>831</v>
      </c>
      <c r="C153" s="3060">
        <f t="shared" ref="C153:D153" si="149">C155+C158+C161+C164+C167+C170+C173+C177+C180</f>
        <v>33596160</v>
      </c>
      <c r="D153" s="3060">
        <f t="shared" si="149"/>
        <v>28200210</v>
      </c>
      <c r="E153" s="3060">
        <f>E155+E158+E161+E164+E167+E170+E173+E177+E180</f>
        <v>34403650</v>
      </c>
      <c r="F153" s="3060">
        <f t="shared" ref="F153:L153" si="150">F155+F158+F161+F164+F167+F170+F173+F177+F180</f>
        <v>30740430</v>
      </c>
      <c r="G153" s="3060">
        <f t="shared" si="150"/>
        <v>34403650</v>
      </c>
      <c r="H153" s="3060">
        <f t="shared" si="150"/>
        <v>51960695</v>
      </c>
      <c r="I153" s="3060">
        <f t="shared" si="150"/>
        <v>18364535</v>
      </c>
      <c r="J153" s="3060">
        <f t="shared" si="150"/>
        <v>33596160</v>
      </c>
      <c r="K153" s="3060">
        <f t="shared" si="150"/>
        <v>30736381</v>
      </c>
      <c r="L153" s="3060">
        <f t="shared" si="150"/>
        <v>21224314</v>
      </c>
      <c r="M153" s="3068">
        <f>M155+M158+M161+M164+M167+M170+M173+M177+M180</f>
        <v>21198035</v>
      </c>
      <c r="N153" s="1950"/>
      <c r="O153" s="1937" t="str">
        <f t="shared" si="131"/>
        <v xml:space="preserve"> </v>
      </c>
      <c r="P153" s="1937" t="str">
        <f t="shared" si="124"/>
        <v xml:space="preserve"> </v>
      </c>
      <c r="Q153" s="723"/>
      <c r="R153" s="1939" t="str">
        <f t="shared" si="125"/>
        <v xml:space="preserve"> </v>
      </c>
      <c r="S153" s="1939" t="str">
        <f t="shared" si="132"/>
        <v xml:space="preserve"> </v>
      </c>
      <c r="T153" s="1937" t="str">
        <f t="shared" si="133"/>
        <v xml:space="preserve"> </v>
      </c>
      <c r="U153" s="1937" t="str">
        <f t="shared" si="121"/>
        <v xml:space="preserve"> </v>
      </c>
      <c r="V153" s="727"/>
    </row>
    <row r="154" spans="1:22" s="1882" customFormat="1" ht="18" hidden="1" customHeight="1">
      <c r="A154" s="3382" t="s">
        <v>1539</v>
      </c>
      <c r="B154" s="3151"/>
      <c r="C154" s="3168"/>
      <c r="D154" s="3168"/>
      <c r="E154" s="3168"/>
      <c r="F154" s="3168"/>
      <c r="G154" s="3168" t="e">
        <f>#REF!</f>
        <v>#REF!</v>
      </c>
      <c r="H154" s="3168" t="e">
        <f t="shared" ref="H154" si="151">I154+J154</f>
        <v>#REF!</v>
      </c>
      <c r="I154" s="3168" t="e">
        <f>#REF!</f>
        <v>#REF!</v>
      </c>
      <c r="J154" s="3168" t="e">
        <f>#REF!</f>
        <v>#REF!</v>
      </c>
      <c r="K154" s="3168">
        <f>PLATI!E131</f>
        <v>0</v>
      </c>
      <c r="L154" s="3168" t="e">
        <f t="shared" ref="L154" si="152">ROUND(H154-K154,1)</f>
        <v>#REF!</v>
      </c>
      <c r="M154" s="3169"/>
      <c r="N154" s="1955"/>
      <c r="O154" s="1937" t="str">
        <f t="shared" si="131"/>
        <v xml:space="preserve"> </v>
      </c>
      <c r="P154" s="1937" t="e">
        <f t="shared" si="124"/>
        <v>#REF!</v>
      </c>
      <c r="Q154" s="723"/>
      <c r="R154" s="1939" t="e">
        <f t="shared" si="125"/>
        <v>#REF!</v>
      </c>
      <c r="S154" s="1939" t="e">
        <f t="shared" si="132"/>
        <v>#REF!</v>
      </c>
      <c r="T154" s="1937" t="e">
        <f t="shared" si="133"/>
        <v>#REF!</v>
      </c>
      <c r="U154" s="1937" t="e">
        <f t="shared" si="121"/>
        <v>#REF!</v>
      </c>
      <c r="V154" s="1881"/>
    </row>
    <row r="155" spans="1:22" s="729" customFormat="1" ht="62.45" customHeight="1">
      <c r="A155" s="3159" t="s">
        <v>1541</v>
      </c>
      <c r="B155" s="3044"/>
      <c r="C155" s="3058">
        <f t="shared" ref="C155:D155" si="153">C156+C157</f>
        <v>1970770</v>
      </c>
      <c r="D155" s="3058">
        <f t="shared" si="153"/>
        <v>1970770</v>
      </c>
      <c r="E155" s="3058">
        <f>E156+E157</f>
        <v>1551590</v>
      </c>
      <c r="F155" s="3058">
        <f t="shared" ref="F155:M155" si="154">F156+F157</f>
        <v>1406020</v>
      </c>
      <c r="G155" s="3058">
        <f t="shared" si="154"/>
        <v>1551590</v>
      </c>
      <c r="H155" s="3058">
        <f t="shared" si="154"/>
        <v>2529309</v>
      </c>
      <c r="I155" s="3058">
        <f t="shared" si="154"/>
        <v>558539</v>
      </c>
      <c r="J155" s="3058">
        <f t="shared" si="154"/>
        <v>1970770</v>
      </c>
      <c r="K155" s="3058">
        <f t="shared" si="154"/>
        <v>1405019</v>
      </c>
      <c r="L155" s="3058">
        <f t="shared" si="154"/>
        <v>1124290</v>
      </c>
      <c r="M155" s="3126">
        <f t="shared" si="154"/>
        <v>1102135</v>
      </c>
      <c r="N155" s="1675"/>
      <c r="O155" s="1937" t="str">
        <f t="shared" si="131"/>
        <v xml:space="preserve"> </v>
      </c>
      <c r="P155" s="1937" t="str">
        <f t="shared" si="124"/>
        <v xml:space="preserve"> </v>
      </c>
      <c r="Q155" s="723"/>
      <c r="R155" s="1939" t="str">
        <f t="shared" si="125"/>
        <v xml:space="preserve"> </v>
      </c>
      <c r="S155" s="1939" t="str">
        <f t="shared" si="132"/>
        <v xml:space="preserve"> </v>
      </c>
      <c r="T155" s="1937" t="str">
        <f t="shared" si="133"/>
        <v xml:space="preserve"> </v>
      </c>
      <c r="U155" s="1937" t="str">
        <f t="shared" si="121"/>
        <v xml:space="preserve"> </v>
      </c>
      <c r="V155" s="726"/>
    </row>
    <row r="156" spans="1:22" s="729" customFormat="1">
      <c r="A156" s="3159" t="s">
        <v>2454</v>
      </c>
      <c r="B156" s="3044"/>
      <c r="C156" s="3045">
        <v>1970770</v>
      </c>
      <c r="D156" s="3045">
        <v>1970770</v>
      </c>
      <c r="E156" s="3045">
        <v>1551590</v>
      </c>
      <c r="F156" s="3046">
        <v>1406020</v>
      </c>
      <c r="G156" s="3059">
        <f>'ANGAJ BUGETAR'!E133</f>
        <v>1551590</v>
      </c>
      <c r="H156" s="3058">
        <f t="shared" ref="H156:H157" si="155">I156+J156</f>
        <v>2529309</v>
      </c>
      <c r="I156" s="3058">
        <f>'ANGAJAM LEGAL '!D133</f>
        <v>558539</v>
      </c>
      <c r="J156" s="3058">
        <f>'ANGAJAM LEGAL '!G133</f>
        <v>1970770</v>
      </c>
      <c r="K156" s="3059">
        <f>PLATI!E133</f>
        <v>1405019</v>
      </c>
      <c r="L156" s="3058">
        <f t="shared" ref="L156:L157" si="156">ROUND(H156-K156,1)</f>
        <v>1124290</v>
      </c>
      <c r="M156" s="3047">
        <v>1102135</v>
      </c>
      <c r="N156" s="1675"/>
      <c r="O156" s="1937" t="str">
        <f t="shared" si="131"/>
        <v xml:space="preserve"> </v>
      </c>
      <c r="P156" s="1937" t="str">
        <f t="shared" si="124"/>
        <v xml:space="preserve"> </v>
      </c>
      <c r="Q156" s="723"/>
      <c r="R156" s="1939" t="str">
        <f t="shared" si="125"/>
        <v xml:space="preserve"> </v>
      </c>
      <c r="S156" s="1939" t="str">
        <f t="shared" si="132"/>
        <v xml:space="preserve"> </v>
      </c>
      <c r="T156" s="1937" t="str">
        <f t="shared" si="133"/>
        <v xml:space="preserve"> </v>
      </c>
      <c r="U156" s="1937" t="str">
        <f t="shared" si="121"/>
        <v xml:space="preserve"> </v>
      </c>
      <c r="V156" s="726"/>
    </row>
    <row r="157" spans="1:22" s="729" customFormat="1" ht="118.15" customHeight="1">
      <c r="A157" s="3209" t="s">
        <v>2452</v>
      </c>
      <c r="B157" s="3187"/>
      <c r="C157" s="3197"/>
      <c r="D157" s="3197"/>
      <c r="E157" s="3197"/>
      <c r="F157" s="3198"/>
      <c r="G157" s="3199">
        <f>'ANGAJ BUGETAR'!E134</f>
        <v>0</v>
      </c>
      <c r="H157" s="3188">
        <f t="shared" si="155"/>
        <v>0</v>
      </c>
      <c r="I157" s="3188">
        <f>'ANGAJAM LEGAL '!D134</f>
        <v>0</v>
      </c>
      <c r="J157" s="3188">
        <f>'ANGAJAM LEGAL '!G134</f>
        <v>0</v>
      </c>
      <c r="K157" s="3199">
        <f>PLATI!E134</f>
        <v>0</v>
      </c>
      <c r="L157" s="3188">
        <f t="shared" si="156"/>
        <v>0</v>
      </c>
      <c r="M157" s="3200"/>
      <c r="N157" s="1675"/>
      <c r="O157" s="1937" t="str">
        <f t="shared" si="131"/>
        <v xml:space="preserve"> </v>
      </c>
      <c r="P157" s="1937" t="str">
        <f t="shared" si="124"/>
        <v xml:space="preserve"> </v>
      </c>
      <c r="Q157" s="723"/>
      <c r="R157" s="1939" t="str">
        <f t="shared" si="125"/>
        <v xml:space="preserve"> </v>
      </c>
      <c r="S157" s="1939" t="str">
        <f t="shared" si="132"/>
        <v xml:space="preserve"> </v>
      </c>
      <c r="T157" s="1937" t="str">
        <f t="shared" si="133"/>
        <v xml:space="preserve"> </v>
      </c>
      <c r="U157" s="1937" t="str">
        <f t="shared" si="121"/>
        <v xml:space="preserve"> </v>
      </c>
      <c r="V157" s="726"/>
    </row>
    <row r="158" spans="1:22" s="729" customFormat="1" ht="32.450000000000003" customHeight="1">
      <c r="A158" s="3897" t="s">
        <v>1542</v>
      </c>
      <c r="B158" s="2719"/>
      <c r="C158" s="2723">
        <f t="shared" ref="C158:D158" si="157">C159+C160</f>
        <v>0</v>
      </c>
      <c r="D158" s="2723">
        <f t="shared" si="157"/>
        <v>0</v>
      </c>
      <c r="E158" s="2723">
        <f>E159+E160</f>
        <v>0</v>
      </c>
      <c r="F158" s="2722">
        <f>F159+F160</f>
        <v>0</v>
      </c>
      <c r="G158" s="2722">
        <f t="shared" ref="G158:M158" si="158">G159+G160</f>
        <v>0</v>
      </c>
      <c r="H158" s="2723">
        <f t="shared" si="158"/>
        <v>0</v>
      </c>
      <c r="I158" s="2723">
        <f t="shared" si="158"/>
        <v>0</v>
      </c>
      <c r="J158" s="2723">
        <f t="shared" si="158"/>
        <v>0</v>
      </c>
      <c r="K158" s="2722">
        <f t="shared" si="158"/>
        <v>0</v>
      </c>
      <c r="L158" s="2723">
        <f t="shared" si="158"/>
        <v>0</v>
      </c>
      <c r="M158" s="3211">
        <f t="shared" si="158"/>
        <v>0</v>
      </c>
      <c r="N158" s="1675"/>
      <c r="O158" s="1937" t="str">
        <f t="shared" si="131"/>
        <v xml:space="preserve"> </v>
      </c>
      <c r="P158" s="1937" t="str">
        <f t="shared" si="124"/>
        <v xml:space="preserve"> </v>
      </c>
      <c r="Q158" s="723"/>
      <c r="R158" s="1939" t="str">
        <f t="shared" si="125"/>
        <v xml:space="preserve"> </v>
      </c>
      <c r="S158" s="1939" t="str">
        <f t="shared" si="132"/>
        <v xml:space="preserve"> </v>
      </c>
      <c r="T158" s="1937" t="str">
        <f t="shared" si="133"/>
        <v xml:space="preserve"> </v>
      </c>
      <c r="U158" s="1937" t="str">
        <f t="shared" si="121"/>
        <v xml:space="preserve"> </v>
      </c>
      <c r="V158" s="726"/>
    </row>
    <row r="159" spans="1:22" s="729" customFormat="1">
      <c r="A159" s="3159" t="s">
        <v>2454</v>
      </c>
      <c r="B159" s="3044"/>
      <c r="C159" s="3045"/>
      <c r="D159" s="3045"/>
      <c r="E159" s="3045"/>
      <c r="F159" s="3046"/>
      <c r="G159" s="3059">
        <f>'ANGAJ BUGETAR'!E136</f>
        <v>0</v>
      </c>
      <c r="H159" s="3058">
        <f t="shared" ref="H159:H160" si="159">I159+J159</f>
        <v>0</v>
      </c>
      <c r="I159" s="3058">
        <f>'ANGAJAM LEGAL '!D136</f>
        <v>0</v>
      </c>
      <c r="J159" s="3058">
        <f>'ANGAJAM LEGAL '!G136</f>
        <v>0</v>
      </c>
      <c r="K159" s="3059">
        <f>PLATI!E136</f>
        <v>0</v>
      </c>
      <c r="L159" s="3058">
        <f t="shared" ref="L159:L160" si="160">ROUND(H159-K159,1)</f>
        <v>0</v>
      </c>
      <c r="M159" s="3047"/>
      <c r="N159" s="1675"/>
      <c r="O159" s="1937" t="str">
        <f t="shared" si="131"/>
        <v xml:space="preserve"> </v>
      </c>
      <c r="P159" s="1937" t="str">
        <f t="shared" si="124"/>
        <v xml:space="preserve"> </v>
      </c>
      <c r="Q159" s="723"/>
      <c r="R159" s="1939" t="str">
        <f t="shared" si="125"/>
        <v xml:space="preserve"> </v>
      </c>
      <c r="S159" s="1939" t="str">
        <f t="shared" si="132"/>
        <v xml:space="preserve"> </v>
      </c>
      <c r="T159" s="1937" t="str">
        <f t="shared" si="133"/>
        <v xml:space="preserve"> </v>
      </c>
      <c r="U159" s="1937" t="str">
        <f t="shared" si="121"/>
        <v xml:space="preserve"> </v>
      </c>
      <c r="V159" s="726"/>
    </row>
    <row r="160" spans="1:22" s="729" customFormat="1" ht="102">
      <c r="A160" s="3159" t="s">
        <v>2452</v>
      </c>
      <c r="B160" s="3044"/>
      <c r="C160" s="3045"/>
      <c r="D160" s="3045"/>
      <c r="E160" s="3045"/>
      <c r="F160" s="3046"/>
      <c r="G160" s="3059">
        <f>'ANGAJ BUGETAR'!E137</f>
        <v>0</v>
      </c>
      <c r="H160" s="3058">
        <f t="shared" si="159"/>
        <v>0</v>
      </c>
      <c r="I160" s="3058">
        <f>'ANGAJAM LEGAL '!D137</f>
        <v>0</v>
      </c>
      <c r="J160" s="3058">
        <f>'ANGAJAM LEGAL '!G137</f>
        <v>0</v>
      </c>
      <c r="K160" s="3059">
        <f>PLATI!E137</f>
        <v>0</v>
      </c>
      <c r="L160" s="3058">
        <f t="shared" si="160"/>
        <v>0</v>
      </c>
      <c r="M160" s="3047"/>
      <c r="N160" s="1675"/>
      <c r="O160" s="1937" t="str">
        <f t="shared" si="131"/>
        <v xml:space="preserve"> </v>
      </c>
      <c r="P160" s="1937" t="str">
        <f t="shared" si="124"/>
        <v xml:space="preserve"> </v>
      </c>
      <c r="Q160" s="723"/>
      <c r="R160" s="1939" t="str">
        <f t="shared" si="125"/>
        <v xml:space="preserve"> </v>
      </c>
      <c r="S160" s="1939" t="str">
        <f t="shared" si="132"/>
        <v xml:space="preserve"> </v>
      </c>
      <c r="T160" s="1937" t="str">
        <f t="shared" si="133"/>
        <v xml:space="preserve"> </v>
      </c>
      <c r="U160" s="1937" t="str">
        <f t="shared" si="121"/>
        <v xml:space="preserve"> </v>
      </c>
      <c r="V160" s="726"/>
    </row>
    <row r="161" spans="1:22" s="729" customFormat="1" ht="25.5">
      <c r="A161" s="3159" t="s">
        <v>1543</v>
      </c>
      <c r="B161" s="3044"/>
      <c r="C161" s="3058">
        <f t="shared" ref="C161:D161" si="161">C162+C163</f>
        <v>723600</v>
      </c>
      <c r="D161" s="3058">
        <f t="shared" si="161"/>
        <v>582000</v>
      </c>
      <c r="E161" s="3058">
        <f>E162+E163</f>
        <v>848440</v>
      </c>
      <c r="F161" s="3059">
        <f t="shared" ref="F161:M161" si="162">F162+F163</f>
        <v>847050</v>
      </c>
      <c r="G161" s="3059">
        <f t="shared" si="162"/>
        <v>848440</v>
      </c>
      <c r="H161" s="3058">
        <f t="shared" si="162"/>
        <v>1420314</v>
      </c>
      <c r="I161" s="3058">
        <f t="shared" si="162"/>
        <v>696714</v>
      </c>
      <c r="J161" s="3058">
        <f t="shared" si="162"/>
        <v>723600</v>
      </c>
      <c r="K161" s="3059">
        <f t="shared" si="162"/>
        <v>847050</v>
      </c>
      <c r="L161" s="3058">
        <f t="shared" si="162"/>
        <v>573264</v>
      </c>
      <c r="M161" s="3126">
        <f t="shared" si="162"/>
        <v>247749</v>
      </c>
      <c r="N161" s="1675"/>
      <c r="O161" s="1937" t="str">
        <f t="shared" si="131"/>
        <v xml:space="preserve"> </v>
      </c>
      <c r="P161" s="1937" t="str">
        <f t="shared" si="124"/>
        <v xml:space="preserve"> </v>
      </c>
      <c r="Q161" s="723"/>
      <c r="R161" s="1939" t="str">
        <f t="shared" si="125"/>
        <v xml:space="preserve"> </v>
      </c>
      <c r="S161" s="1939" t="str">
        <f t="shared" si="132"/>
        <v xml:space="preserve"> </v>
      </c>
      <c r="T161" s="1937" t="str">
        <f t="shared" si="133"/>
        <v xml:space="preserve"> </v>
      </c>
      <c r="U161" s="1937" t="str">
        <f t="shared" si="121"/>
        <v xml:space="preserve"> </v>
      </c>
      <c r="V161" s="726"/>
    </row>
    <row r="162" spans="1:22" s="729" customFormat="1" ht="18" customHeight="1">
      <c r="A162" s="3159" t="s">
        <v>2454</v>
      </c>
      <c r="B162" s="3044"/>
      <c r="C162" s="3045">
        <v>723600</v>
      </c>
      <c r="D162" s="3045">
        <v>582000</v>
      </c>
      <c r="E162" s="3045">
        <v>848440</v>
      </c>
      <c r="F162" s="3046">
        <v>847050</v>
      </c>
      <c r="G162" s="3059">
        <f>'ANGAJ BUGETAR'!E139</f>
        <v>848440</v>
      </c>
      <c r="H162" s="3058">
        <f t="shared" ref="H162:H163" si="163">I162+J162</f>
        <v>1420314</v>
      </c>
      <c r="I162" s="3058">
        <f>'ANGAJAM LEGAL '!D139</f>
        <v>696714</v>
      </c>
      <c r="J162" s="3058">
        <f>'ANGAJAM LEGAL '!G139</f>
        <v>723600</v>
      </c>
      <c r="K162" s="3059">
        <f>PLATI!E139</f>
        <v>847050</v>
      </c>
      <c r="L162" s="3058">
        <f t="shared" ref="L162:L163" si="164">ROUND(H162-K162,1)</f>
        <v>573264</v>
      </c>
      <c r="M162" s="3047">
        <v>247749</v>
      </c>
      <c r="N162" s="1675"/>
      <c r="O162" s="1937" t="str">
        <f t="shared" si="131"/>
        <v xml:space="preserve"> </v>
      </c>
      <c r="P162" s="1937" t="str">
        <f t="shared" si="124"/>
        <v xml:space="preserve"> </v>
      </c>
      <c r="Q162" s="723"/>
      <c r="R162" s="1939" t="str">
        <f t="shared" si="125"/>
        <v xml:space="preserve"> </v>
      </c>
      <c r="S162" s="1939" t="str">
        <f t="shared" si="132"/>
        <v xml:space="preserve"> </v>
      </c>
      <c r="T162" s="1937" t="str">
        <f t="shared" si="133"/>
        <v xml:space="preserve"> </v>
      </c>
      <c r="U162" s="1937" t="str">
        <f t="shared" si="121"/>
        <v xml:space="preserve"> </v>
      </c>
      <c r="V162" s="726"/>
    </row>
    <row r="163" spans="1:22" s="729" customFormat="1" ht="102">
      <c r="A163" s="3159" t="s">
        <v>2452</v>
      </c>
      <c r="B163" s="3044"/>
      <c r="C163" s="3045"/>
      <c r="D163" s="3045"/>
      <c r="E163" s="3045"/>
      <c r="F163" s="3046"/>
      <c r="G163" s="3059">
        <f>'ANGAJ BUGETAR'!E140</f>
        <v>0</v>
      </c>
      <c r="H163" s="3058">
        <f t="shared" si="163"/>
        <v>0</v>
      </c>
      <c r="I163" s="3058">
        <f>'ANGAJAM LEGAL '!D140</f>
        <v>0</v>
      </c>
      <c r="J163" s="3058">
        <f>'ANGAJAM LEGAL '!G140</f>
        <v>0</v>
      </c>
      <c r="K163" s="3059">
        <f>PLATI!E140</f>
        <v>0</v>
      </c>
      <c r="L163" s="3058">
        <f t="shared" si="164"/>
        <v>0</v>
      </c>
      <c r="M163" s="3047"/>
      <c r="N163" s="1675"/>
      <c r="O163" s="1937" t="str">
        <f t="shared" si="131"/>
        <v xml:space="preserve"> </v>
      </c>
      <c r="P163" s="1937" t="str">
        <f t="shared" si="124"/>
        <v xml:space="preserve"> </v>
      </c>
      <c r="Q163" s="723"/>
      <c r="R163" s="1939" t="str">
        <f t="shared" si="125"/>
        <v xml:space="preserve"> </v>
      </c>
      <c r="S163" s="1939" t="str">
        <f t="shared" si="132"/>
        <v xml:space="preserve"> </v>
      </c>
      <c r="T163" s="1937" t="str">
        <f t="shared" si="133"/>
        <v xml:space="preserve"> </v>
      </c>
      <c r="U163" s="1937" t="str">
        <f t="shared" si="121"/>
        <v xml:space="preserve"> </v>
      </c>
      <c r="V163" s="726"/>
    </row>
    <row r="164" spans="1:22" s="729" customFormat="1" ht="25.5">
      <c r="A164" s="3159" t="s">
        <v>1544</v>
      </c>
      <c r="B164" s="3044"/>
      <c r="C164" s="3058">
        <f t="shared" ref="C164:D164" si="165">C165+C166</f>
        <v>13001800</v>
      </c>
      <c r="D164" s="3058">
        <f t="shared" si="165"/>
        <v>11150550</v>
      </c>
      <c r="E164" s="3058">
        <f>E165+E166</f>
        <v>14368510</v>
      </c>
      <c r="F164" s="3059">
        <f t="shared" ref="F164:M164" si="166">F165+F166</f>
        <v>12653350</v>
      </c>
      <c r="G164" s="3059">
        <f t="shared" si="166"/>
        <v>14368510</v>
      </c>
      <c r="H164" s="3058">
        <f t="shared" si="166"/>
        <v>20169105</v>
      </c>
      <c r="I164" s="3058">
        <f t="shared" si="166"/>
        <v>7167305</v>
      </c>
      <c r="J164" s="3058">
        <f t="shared" si="166"/>
        <v>13001800</v>
      </c>
      <c r="K164" s="3059">
        <f t="shared" si="166"/>
        <v>12652305</v>
      </c>
      <c r="L164" s="3058">
        <f t="shared" si="166"/>
        <v>7516800</v>
      </c>
      <c r="M164" s="3126">
        <f t="shared" si="166"/>
        <v>9144006</v>
      </c>
      <c r="N164" s="1675"/>
      <c r="O164" s="1937" t="str">
        <f t="shared" si="131"/>
        <v xml:space="preserve"> </v>
      </c>
      <c r="P164" s="1937" t="str">
        <f t="shared" si="124"/>
        <v xml:space="preserve"> </v>
      </c>
      <c r="Q164" s="723"/>
      <c r="R164" s="1939" t="str">
        <f t="shared" si="125"/>
        <v xml:space="preserve"> </v>
      </c>
      <c r="S164" s="1939" t="str">
        <f t="shared" si="132"/>
        <v xml:space="preserve"> </v>
      </c>
      <c r="T164" s="1937" t="str">
        <f t="shared" si="133"/>
        <v xml:space="preserve"> </v>
      </c>
      <c r="U164" s="1937" t="str">
        <f t="shared" si="121"/>
        <v xml:space="preserve"> </v>
      </c>
      <c r="V164" s="726"/>
    </row>
    <row r="165" spans="1:22" s="729" customFormat="1" ht="18" customHeight="1">
      <c r="A165" s="3159" t="s">
        <v>2454</v>
      </c>
      <c r="B165" s="3044"/>
      <c r="C165" s="3045">
        <v>13001800</v>
      </c>
      <c r="D165" s="3045">
        <v>11150550</v>
      </c>
      <c r="E165" s="3045">
        <v>14368510</v>
      </c>
      <c r="F165" s="3046">
        <v>12653350</v>
      </c>
      <c r="G165" s="3059">
        <f>'ANGAJ BUGETAR'!E142</f>
        <v>14368510</v>
      </c>
      <c r="H165" s="3058">
        <f t="shared" ref="H165:H166" si="167">I165+J165</f>
        <v>20169105</v>
      </c>
      <c r="I165" s="3058">
        <f>'ANGAJAM LEGAL '!D142</f>
        <v>7167305</v>
      </c>
      <c r="J165" s="3058">
        <f>'ANGAJAM LEGAL '!G142</f>
        <v>13001800</v>
      </c>
      <c r="K165" s="3059">
        <f>PLATI!E142</f>
        <v>12652305</v>
      </c>
      <c r="L165" s="3058">
        <f t="shared" ref="L165:L166" si="168">ROUND(H165-K165,1)</f>
        <v>7516800</v>
      </c>
      <c r="M165" s="3047">
        <v>9144006</v>
      </c>
      <c r="N165" s="1675"/>
      <c r="O165" s="1937" t="str">
        <f t="shared" si="131"/>
        <v xml:space="preserve"> </v>
      </c>
      <c r="P165" s="1937" t="str">
        <f t="shared" si="124"/>
        <v xml:space="preserve"> </v>
      </c>
      <c r="Q165" s="723"/>
      <c r="R165" s="1939" t="str">
        <f t="shared" si="125"/>
        <v xml:space="preserve"> </v>
      </c>
      <c r="S165" s="1939" t="str">
        <f t="shared" si="132"/>
        <v xml:space="preserve"> </v>
      </c>
      <c r="T165" s="1937" t="str">
        <f t="shared" si="133"/>
        <v xml:space="preserve"> </v>
      </c>
      <c r="U165" s="1937" t="str">
        <f t="shared" si="121"/>
        <v xml:space="preserve"> </v>
      </c>
      <c r="V165" s="726"/>
    </row>
    <row r="166" spans="1:22" s="729" customFormat="1" ht="102">
      <c r="A166" s="3159" t="s">
        <v>2452</v>
      </c>
      <c r="B166" s="3044"/>
      <c r="C166" s="3045"/>
      <c r="D166" s="3045"/>
      <c r="E166" s="3045"/>
      <c r="F166" s="3046"/>
      <c r="G166" s="3059">
        <f>'ANGAJ BUGETAR'!E143</f>
        <v>0</v>
      </c>
      <c r="H166" s="3058">
        <f t="shared" si="167"/>
        <v>0</v>
      </c>
      <c r="I166" s="3058">
        <f>'ANGAJAM LEGAL '!D143</f>
        <v>0</v>
      </c>
      <c r="J166" s="3058">
        <f>'ANGAJAM LEGAL '!G143</f>
        <v>0</v>
      </c>
      <c r="K166" s="3059">
        <f>PLATI!E143</f>
        <v>0</v>
      </c>
      <c r="L166" s="3058">
        <f t="shared" si="168"/>
        <v>0</v>
      </c>
      <c r="M166" s="3047"/>
      <c r="N166" s="1675"/>
      <c r="O166" s="1937" t="str">
        <f t="shared" si="131"/>
        <v xml:space="preserve"> </v>
      </c>
      <c r="P166" s="1937" t="str">
        <f t="shared" si="124"/>
        <v xml:space="preserve"> </v>
      </c>
      <c r="Q166" s="723"/>
      <c r="R166" s="1939" t="str">
        <f t="shared" si="125"/>
        <v xml:space="preserve"> </v>
      </c>
      <c r="S166" s="1939" t="str">
        <f t="shared" si="132"/>
        <v xml:space="preserve"> </v>
      </c>
      <c r="T166" s="1937" t="str">
        <f t="shared" si="133"/>
        <v xml:space="preserve"> </v>
      </c>
      <c r="U166" s="1937" t="str">
        <f t="shared" si="121"/>
        <v xml:space="preserve"> </v>
      </c>
      <c r="V166" s="726"/>
    </row>
    <row r="167" spans="1:22" s="729" customFormat="1" ht="25.5">
      <c r="A167" s="3159" t="s">
        <v>1545</v>
      </c>
      <c r="B167" s="3044"/>
      <c r="C167" s="3058">
        <f t="shared" ref="C167:D167" si="169">C168+C169</f>
        <v>0</v>
      </c>
      <c r="D167" s="3058">
        <f t="shared" si="169"/>
        <v>0</v>
      </c>
      <c r="E167" s="3058">
        <f>E168+E169</f>
        <v>0</v>
      </c>
      <c r="F167" s="3059">
        <f t="shared" ref="F167:M167" si="170">F168+F169</f>
        <v>0</v>
      </c>
      <c r="G167" s="3059">
        <f t="shared" si="170"/>
        <v>0</v>
      </c>
      <c r="H167" s="3058">
        <f t="shared" si="170"/>
        <v>0</v>
      </c>
      <c r="I167" s="3058">
        <f t="shared" si="170"/>
        <v>0</v>
      </c>
      <c r="J167" s="3058">
        <f t="shared" si="170"/>
        <v>0</v>
      </c>
      <c r="K167" s="3059">
        <f t="shared" si="170"/>
        <v>0</v>
      </c>
      <c r="L167" s="3058">
        <f t="shared" si="170"/>
        <v>0</v>
      </c>
      <c r="M167" s="3126">
        <f t="shared" si="170"/>
        <v>0</v>
      </c>
      <c r="N167" s="1675"/>
      <c r="O167" s="1937" t="str">
        <f t="shared" si="131"/>
        <v xml:space="preserve"> </v>
      </c>
      <c r="P167" s="1937" t="str">
        <f t="shared" si="124"/>
        <v xml:space="preserve"> </v>
      </c>
      <c r="Q167" s="723"/>
      <c r="R167" s="1939" t="str">
        <f t="shared" si="125"/>
        <v xml:space="preserve"> </v>
      </c>
      <c r="S167" s="1939" t="str">
        <f t="shared" si="132"/>
        <v xml:space="preserve"> </v>
      </c>
      <c r="T167" s="1937" t="str">
        <f t="shared" si="133"/>
        <v xml:space="preserve"> </v>
      </c>
      <c r="U167" s="1937" t="str">
        <f t="shared" si="121"/>
        <v xml:space="preserve"> </v>
      </c>
      <c r="V167" s="726"/>
    </row>
    <row r="168" spans="1:22" s="729" customFormat="1" ht="30" customHeight="1">
      <c r="A168" s="3159" t="s">
        <v>2454</v>
      </c>
      <c r="B168" s="3044"/>
      <c r="C168" s="3045"/>
      <c r="D168" s="3045"/>
      <c r="E168" s="3045"/>
      <c r="F168" s="3046"/>
      <c r="G168" s="3059">
        <f>'ANGAJ BUGETAR'!E145</f>
        <v>0</v>
      </c>
      <c r="H168" s="3058">
        <f t="shared" ref="H168:H169" si="171">I168+J168</f>
        <v>0</v>
      </c>
      <c r="I168" s="3058">
        <f>'ANGAJAM LEGAL '!D145</f>
        <v>0</v>
      </c>
      <c r="J168" s="3058">
        <f>'ANGAJAM LEGAL '!G145</f>
        <v>0</v>
      </c>
      <c r="K168" s="3059">
        <f>PLATI!E145</f>
        <v>0</v>
      </c>
      <c r="L168" s="3058">
        <f t="shared" ref="L168:L169" si="172">ROUND(H168-K168,1)</f>
        <v>0</v>
      </c>
      <c r="M168" s="3047"/>
      <c r="N168" s="1675"/>
      <c r="O168" s="1937" t="str">
        <f t="shared" si="131"/>
        <v xml:space="preserve"> </v>
      </c>
      <c r="P168" s="1937" t="str">
        <f t="shared" si="124"/>
        <v xml:space="preserve"> </v>
      </c>
      <c r="Q168" s="723"/>
      <c r="R168" s="1939" t="str">
        <f t="shared" si="125"/>
        <v xml:space="preserve"> </v>
      </c>
      <c r="S168" s="1939" t="str">
        <f t="shared" si="132"/>
        <v xml:space="preserve"> </v>
      </c>
      <c r="T168" s="1937" t="str">
        <f t="shared" si="133"/>
        <v xml:space="preserve"> </v>
      </c>
      <c r="U168" s="1937" t="str">
        <f t="shared" si="121"/>
        <v xml:space="preserve"> </v>
      </c>
      <c r="V168" s="726"/>
    </row>
    <row r="169" spans="1:22" s="729" customFormat="1" ht="102">
      <c r="A169" s="3159" t="s">
        <v>2452</v>
      </c>
      <c r="B169" s="3044"/>
      <c r="C169" s="3045"/>
      <c r="D169" s="3045"/>
      <c r="E169" s="3045"/>
      <c r="F169" s="3046"/>
      <c r="G169" s="3059">
        <f>'ANGAJ BUGETAR'!E146</f>
        <v>0</v>
      </c>
      <c r="H169" s="3058">
        <f t="shared" si="171"/>
        <v>0</v>
      </c>
      <c r="I169" s="3058">
        <f>'ANGAJAM LEGAL '!D146</f>
        <v>0</v>
      </c>
      <c r="J169" s="3058">
        <f>'ANGAJAM LEGAL '!G146</f>
        <v>0</v>
      </c>
      <c r="K169" s="3059">
        <f>PLATI!E146</f>
        <v>0</v>
      </c>
      <c r="L169" s="3058">
        <f t="shared" si="172"/>
        <v>0</v>
      </c>
      <c r="M169" s="3047"/>
      <c r="N169" s="1675"/>
      <c r="O169" s="1937" t="str">
        <f t="shared" si="131"/>
        <v xml:space="preserve"> </v>
      </c>
      <c r="P169" s="1937" t="str">
        <f t="shared" si="124"/>
        <v xml:space="preserve"> </v>
      </c>
      <c r="Q169" s="723"/>
      <c r="R169" s="1939" t="str">
        <f t="shared" si="125"/>
        <v xml:space="preserve"> </v>
      </c>
      <c r="S169" s="1939" t="str">
        <f t="shared" si="132"/>
        <v xml:space="preserve"> </v>
      </c>
      <c r="T169" s="1937" t="str">
        <f t="shared" si="133"/>
        <v xml:space="preserve"> </v>
      </c>
      <c r="U169" s="1937" t="str">
        <f t="shared" si="121"/>
        <v xml:space="preserve"> </v>
      </c>
      <c r="V169" s="726"/>
    </row>
    <row r="170" spans="1:22" s="729" customFormat="1" ht="38.25">
      <c r="A170" s="3159" t="s">
        <v>1546</v>
      </c>
      <c r="B170" s="3044"/>
      <c r="C170" s="3058">
        <f t="shared" ref="C170:D170" si="173">C171+C172</f>
        <v>175080</v>
      </c>
      <c r="D170" s="3058">
        <f t="shared" si="173"/>
        <v>155080</v>
      </c>
      <c r="E170" s="3058">
        <f>E171+E172</f>
        <v>185900</v>
      </c>
      <c r="F170" s="3059">
        <f t="shared" ref="F170:M170" si="174">F171+F172</f>
        <v>162920</v>
      </c>
      <c r="G170" s="3059">
        <f t="shared" si="174"/>
        <v>185900</v>
      </c>
      <c r="H170" s="3058">
        <f t="shared" si="174"/>
        <v>263554</v>
      </c>
      <c r="I170" s="3058">
        <f t="shared" si="174"/>
        <v>88474</v>
      </c>
      <c r="J170" s="3058">
        <f t="shared" si="174"/>
        <v>175080</v>
      </c>
      <c r="K170" s="3059">
        <f t="shared" si="174"/>
        <v>162372</v>
      </c>
      <c r="L170" s="3058">
        <f t="shared" si="174"/>
        <v>101182</v>
      </c>
      <c r="M170" s="3126">
        <f t="shared" si="174"/>
        <v>124693</v>
      </c>
      <c r="N170" s="1675"/>
      <c r="O170" s="1937" t="str">
        <f t="shared" si="131"/>
        <v xml:space="preserve"> </v>
      </c>
      <c r="P170" s="1937" t="str">
        <f t="shared" si="124"/>
        <v xml:space="preserve"> </v>
      </c>
      <c r="Q170" s="723"/>
      <c r="R170" s="1939" t="str">
        <f t="shared" si="125"/>
        <v xml:space="preserve"> </v>
      </c>
      <c r="S170" s="1939" t="str">
        <f t="shared" si="132"/>
        <v xml:space="preserve"> </v>
      </c>
      <c r="T170" s="1937" t="str">
        <f t="shared" si="133"/>
        <v xml:space="preserve"> </v>
      </c>
      <c r="U170" s="1937" t="str">
        <f t="shared" si="121"/>
        <v xml:space="preserve"> </v>
      </c>
      <c r="V170" s="726"/>
    </row>
    <row r="171" spans="1:22" s="729" customFormat="1" ht="25.9" customHeight="1">
      <c r="A171" s="3209" t="s">
        <v>2454</v>
      </c>
      <c r="B171" s="3187"/>
      <c r="C171" s="3197">
        <v>175080</v>
      </c>
      <c r="D171" s="3197">
        <v>155080</v>
      </c>
      <c r="E171" s="3197">
        <v>185900</v>
      </c>
      <c r="F171" s="3198">
        <v>162920</v>
      </c>
      <c r="G171" s="3199">
        <f>'ANGAJ BUGETAR'!E148</f>
        <v>185900</v>
      </c>
      <c r="H171" s="3188">
        <f t="shared" ref="H171:H172" si="175">I171+J171</f>
        <v>263554</v>
      </c>
      <c r="I171" s="3188">
        <f>'ANGAJAM LEGAL '!D148</f>
        <v>88474</v>
      </c>
      <c r="J171" s="3188">
        <f>'ANGAJAM LEGAL '!G148</f>
        <v>175080</v>
      </c>
      <c r="K171" s="3199">
        <f>PLATI!E148</f>
        <v>162372</v>
      </c>
      <c r="L171" s="3188">
        <f t="shared" ref="L171:L172" si="176">ROUND(H171-K171,1)</f>
        <v>101182</v>
      </c>
      <c r="M171" s="3200">
        <v>124693</v>
      </c>
      <c r="N171" s="1675"/>
      <c r="O171" s="1937" t="str">
        <f t="shared" si="131"/>
        <v xml:space="preserve"> </v>
      </c>
      <c r="P171" s="1937" t="str">
        <f t="shared" si="124"/>
        <v xml:space="preserve"> </v>
      </c>
      <c r="Q171" s="723"/>
      <c r="R171" s="1939" t="str">
        <f t="shared" si="125"/>
        <v xml:space="preserve"> </v>
      </c>
      <c r="S171" s="1939" t="str">
        <f t="shared" si="132"/>
        <v xml:space="preserve"> </v>
      </c>
      <c r="T171" s="1937" t="str">
        <f t="shared" si="133"/>
        <v xml:space="preserve"> </v>
      </c>
      <c r="U171" s="1937" t="str">
        <f t="shared" si="121"/>
        <v xml:space="preserve"> </v>
      </c>
      <c r="V171" s="726"/>
    </row>
    <row r="172" spans="1:22" s="729" customFormat="1" ht="126" customHeight="1">
      <c r="A172" s="3897" t="s">
        <v>2452</v>
      </c>
      <c r="B172" s="2719"/>
      <c r="C172" s="2720"/>
      <c r="D172" s="2720"/>
      <c r="E172" s="2720"/>
      <c r="F172" s="2721"/>
      <c r="G172" s="2722">
        <f>'ANGAJ BUGETAR'!E149</f>
        <v>0</v>
      </c>
      <c r="H172" s="2723">
        <f t="shared" si="175"/>
        <v>0</v>
      </c>
      <c r="I172" s="2723">
        <f>'ANGAJAM LEGAL '!D149</f>
        <v>0</v>
      </c>
      <c r="J172" s="2723">
        <f>'ANGAJAM LEGAL '!G149</f>
        <v>0</v>
      </c>
      <c r="K172" s="2722">
        <f>PLATI!E149</f>
        <v>0</v>
      </c>
      <c r="L172" s="2723">
        <f t="shared" si="176"/>
        <v>0</v>
      </c>
      <c r="M172" s="2724"/>
      <c r="N172" s="1675"/>
      <c r="O172" s="1937" t="str">
        <f t="shared" si="131"/>
        <v xml:space="preserve"> </v>
      </c>
      <c r="P172" s="1937" t="str">
        <f t="shared" si="124"/>
        <v xml:space="preserve"> </v>
      </c>
      <c r="Q172" s="723"/>
      <c r="R172" s="1939" t="str">
        <f t="shared" si="125"/>
        <v xml:space="preserve"> </v>
      </c>
      <c r="S172" s="1939" t="str">
        <f t="shared" si="132"/>
        <v xml:space="preserve"> </v>
      </c>
      <c r="T172" s="1937" t="str">
        <f t="shared" si="133"/>
        <v xml:space="preserve"> </v>
      </c>
      <c r="U172" s="1937" t="str">
        <f t="shared" si="121"/>
        <v xml:space="preserve"> </v>
      </c>
      <c r="V172" s="726"/>
    </row>
    <row r="173" spans="1:22" s="729" customFormat="1" ht="25.5">
      <c r="A173" s="3159" t="s">
        <v>1547</v>
      </c>
      <c r="B173" s="3044"/>
      <c r="C173" s="3058">
        <f>C174+C175+C176</f>
        <v>9595050</v>
      </c>
      <c r="D173" s="3058">
        <f>D174++D175+D176</f>
        <v>7928590</v>
      </c>
      <c r="E173" s="3058">
        <f t="shared" ref="E173:G173" si="177">E174++E175+E176</f>
        <v>8911980</v>
      </c>
      <c r="F173" s="3059">
        <f t="shared" si="177"/>
        <v>7792760</v>
      </c>
      <c r="G173" s="3059">
        <f t="shared" si="177"/>
        <v>8911980</v>
      </c>
      <c r="H173" s="3058">
        <f t="shared" ref="H173" si="178">H174++H175+H176</f>
        <v>14059815</v>
      </c>
      <c r="I173" s="3058">
        <f t="shared" ref="I173" si="179">I174++I175+I176</f>
        <v>4464765</v>
      </c>
      <c r="J173" s="3058">
        <f t="shared" ref="J173" si="180">J174++J175+J176</f>
        <v>9595050</v>
      </c>
      <c r="K173" s="3059">
        <f t="shared" ref="K173" si="181">K174++K175+K176</f>
        <v>7791653</v>
      </c>
      <c r="L173" s="3058">
        <f t="shared" ref="L173" si="182">L174++L175+L176</f>
        <v>6268162</v>
      </c>
      <c r="M173" s="3126">
        <f>M174+M175+M176</f>
        <v>5857192</v>
      </c>
      <c r="N173" s="1675"/>
      <c r="O173" s="1937" t="str">
        <f t="shared" si="131"/>
        <v xml:space="preserve"> </v>
      </c>
      <c r="P173" s="1937" t="str">
        <f t="shared" si="124"/>
        <v xml:space="preserve"> </v>
      </c>
      <c r="Q173" s="723"/>
      <c r="R173" s="1939" t="str">
        <f t="shared" si="125"/>
        <v xml:space="preserve"> </v>
      </c>
      <c r="S173" s="1939" t="str">
        <f t="shared" si="132"/>
        <v xml:space="preserve"> </v>
      </c>
      <c r="T173" s="1937" t="str">
        <f t="shared" si="133"/>
        <v xml:space="preserve"> </v>
      </c>
      <c r="U173" s="1937" t="str">
        <f t="shared" si="121"/>
        <v xml:space="preserve"> </v>
      </c>
      <c r="V173" s="726"/>
    </row>
    <row r="174" spans="1:22" s="729" customFormat="1" ht="18" customHeight="1">
      <c r="A174" s="3159" t="s">
        <v>2454</v>
      </c>
      <c r="B174" s="3044"/>
      <c r="C174" s="3045">
        <v>9595050</v>
      </c>
      <c r="D174" s="3045">
        <v>7928590</v>
      </c>
      <c r="E174" s="3045">
        <v>8911980</v>
      </c>
      <c r="F174" s="3046">
        <v>7792760</v>
      </c>
      <c r="G174" s="3059">
        <f>'ANGAJ BUGETAR'!E151</f>
        <v>8911980</v>
      </c>
      <c r="H174" s="3058">
        <f t="shared" ref="H174:H176" si="183">I174+J174</f>
        <v>14059815</v>
      </c>
      <c r="I174" s="3058">
        <f>'ANGAJAM LEGAL '!D151</f>
        <v>4464765</v>
      </c>
      <c r="J174" s="3058">
        <f>'ANGAJAM LEGAL '!G151</f>
        <v>9595050</v>
      </c>
      <c r="K174" s="3059">
        <f>PLATI!E151</f>
        <v>7791653</v>
      </c>
      <c r="L174" s="3058">
        <f t="shared" ref="L174:L176" si="184">ROUND(H174-K174,1)</f>
        <v>6268162</v>
      </c>
      <c r="M174" s="3047">
        <v>5857192</v>
      </c>
      <c r="N174" s="1675"/>
      <c r="O174" s="1937" t="str">
        <f t="shared" si="131"/>
        <v xml:space="preserve"> </v>
      </c>
      <c r="P174" s="1937" t="str">
        <f t="shared" si="124"/>
        <v xml:space="preserve"> </v>
      </c>
      <c r="Q174" s="723"/>
      <c r="R174" s="1939" t="str">
        <f t="shared" si="125"/>
        <v xml:space="preserve"> </v>
      </c>
      <c r="S174" s="1939" t="str">
        <f t="shared" si="132"/>
        <v xml:space="preserve"> </v>
      </c>
      <c r="T174" s="1937" t="str">
        <f t="shared" si="133"/>
        <v xml:space="preserve"> </v>
      </c>
      <c r="U174" s="1937" t="str">
        <f t="shared" si="121"/>
        <v xml:space="preserve"> </v>
      </c>
      <c r="V174" s="726"/>
    </row>
    <row r="175" spans="1:22" s="729" customFormat="1" ht="18" hidden="1" customHeight="1">
      <c r="A175" s="3159" t="s">
        <v>2475</v>
      </c>
      <c r="B175" s="3044"/>
      <c r="C175" s="3045"/>
      <c r="D175" s="3045"/>
      <c r="E175" s="3045"/>
      <c r="F175" s="3046"/>
      <c r="G175" s="3059">
        <f>'ANGAJ BUGETAR'!E152</f>
        <v>0</v>
      </c>
      <c r="H175" s="3058">
        <f t="shared" si="183"/>
        <v>0</v>
      </c>
      <c r="I175" s="3058">
        <f>'ANGAJAM LEGAL '!D152</f>
        <v>0</v>
      </c>
      <c r="J175" s="3058">
        <f>'ANGAJAM LEGAL '!G152</f>
        <v>0</v>
      </c>
      <c r="K175" s="3059">
        <f>PLATI!E152</f>
        <v>0</v>
      </c>
      <c r="L175" s="3058">
        <f t="shared" si="184"/>
        <v>0</v>
      </c>
      <c r="M175" s="3047"/>
      <c r="N175" s="1675"/>
      <c r="O175" s="1937" t="str">
        <f t="shared" si="131"/>
        <v xml:space="preserve"> </v>
      </c>
      <c r="P175" s="1937" t="str">
        <f t="shared" si="124"/>
        <v xml:space="preserve"> </v>
      </c>
      <c r="Q175" s="723"/>
      <c r="R175" s="1939" t="str">
        <f t="shared" si="125"/>
        <v xml:space="preserve"> </v>
      </c>
      <c r="S175" s="1939" t="str">
        <f t="shared" si="132"/>
        <v xml:space="preserve"> </v>
      </c>
      <c r="T175" s="1937" t="str">
        <f t="shared" si="133"/>
        <v xml:space="preserve"> </v>
      </c>
      <c r="U175" s="1937" t="str">
        <f t="shared" si="121"/>
        <v xml:space="preserve"> </v>
      </c>
      <c r="V175" s="726"/>
    </row>
    <row r="176" spans="1:22" s="729" customFormat="1" ht="102">
      <c r="A176" s="3159" t="s">
        <v>2452</v>
      </c>
      <c r="B176" s="3044"/>
      <c r="C176" s="3045"/>
      <c r="D176" s="3045"/>
      <c r="E176" s="3045"/>
      <c r="F176" s="3046"/>
      <c r="G176" s="3059">
        <f>'ANGAJ BUGETAR'!E153</f>
        <v>0</v>
      </c>
      <c r="H176" s="3058">
        <f t="shared" si="183"/>
        <v>0</v>
      </c>
      <c r="I176" s="3058">
        <f>'ANGAJAM LEGAL '!D153</f>
        <v>0</v>
      </c>
      <c r="J176" s="3058">
        <f>'ANGAJAM LEGAL '!G153</f>
        <v>0</v>
      </c>
      <c r="K176" s="3059">
        <f>PLATI!E153</f>
        <v>0</v>
      </c>
      <c r="L176" s="3058">
        <f t="shared" si="184"/>
        <v>0</v>
      </c>
      <c r="M176" s="3047"/>
      <c r="N176" s="1675"/>
      <c r="O176" s="1937" t="str">
        <f t="shared" si="131"/>
        <v xml:space="preserve"> </v>
      </c>
      <c r="P176" s="1937" t="str">
        <f t="shared" si="124"/>
        <v xml:space="preserve"> </v>
      </c>
      <c r="Q176" s="723"/>
      <c r="R176" s="1939" t="str">
        <f t="shared" si="125"/>
        <v xml:space="preserve"> </v>
      </c>
      <c r="S176" s="1939" t="str">
        <f t="shared" si="132"/>
        <v xml:space="preserve"> </v>
      </c>
      <c r="T176" s="1937" t="str">
        <f t="shared" si="133"/>
        <v xml:space="preserve"> </v>
      </c>
      <c r="U176" s="1937" t="str">
        <f t="shared" si="121"/>
        <v xml:space="preserve"> </v>
      </c>
      <c r="V176" s="726"/>
    </row>
    <row r="177" spans="1:22" s="729" customFormat="1" ht="25.5">
      <c r="A177" s="3159" t="s">
        <v>1548</v>
      </c>
      <c r="B177" s="3044"/>
      <c r="C177" s="3058">
        <f>C178+C179</f>
        <v>0</v>
      </c>
      <c r="D177" s="3058">
        <f t="shared" ref="D177:F177" si="185">D178+D179</f>
        <v>0</v>
      </c>
      <c r="E177" s="3058">
        <f t="shared" si="185"/>
        <v>0</v>
      </c>
      <c r="F177" s="3059">
        <f t="shared" si="185"/>
        <v>0</v>
      </c>
      <c r="G177" s="3059">
        <f t="shared" ref="G177:M177" si="186">G178+G179</f>
        <v>0</v>
      </c>
      <c r="H177" s="3058">
        <f t="shared" si="186"/>
        <v>0</v>
      </c>
      <c r="I177" s="3058">
        <f t="shared" si="186"/>
        <v>0</v>
      </c>
      <c r="J177" s="3058">
        <f t="shared" si="186"/>
        <v>0</v>
      </c>
      <c r="K177" s="3059">
        <f t="shared" si="186"/>
        <v>0</v>
      </c>
      <c r="L177" s="3058">
        <f t="shared" si="186"/>
        <v>0</v>
      </c>
      <c r="M177" s="3126">
        <f t="shared" si="186"/>
        <v>0</v>
      </c>
      <c r="N177" s="1675"/>
      <c r="O177" s="1937" t="str">
        <f t="shared" si="131"/>
        <v xml:space="preserve"> </v>
      </c>
      <c r="P177" s="1937" t="str">
        <f t="shared" si="124"/>
        <v xml:space="preserve"> </v>
      </c>
      <c r="Q177" s="723"/>
      <c r="R177" s="1939" t="str">
        <f t="shared" si="125"/>
        <v xml:space="preserve"> </v>
      </c>
      <c r="S177" s="1939" t="str">
        <f t="shared" si="132"/>
        <v xml:space="preserve"> </v>
      </c>
      <c r="T177" s="1937" t="str">
        <f t="shared" si="133"/>
        <v xml:space="preserve"> </v>
      </c>
      <c r="U177" s="1937" t="str">
        <f t="shared" si="121"/>
        <v xml:space="preserve"> </v>
      </c>
      <c r="V177" s="726"/>
    </row>
    <row r="178" spans="1:22" s="729" customFormat="1" ht="18" customHeight="1">
      <c r="A178" s="3159" t="s">
        <v>2454</v>
      </c>
      <c r="B178" s="3044"/>
      <c r="C178" s="3045"/>
      <c r="D178" s="3045"/>
      <c r="E178" s="3045"/>
      <c r="F178" s="3046"/>
      <c r="G178" s="3059">
        <f>'ANGAJ BUGETAR'!E155</f>
        <v>0</v>
      </c>
      <c r="H178" s="3058">
        <f t="shared" ref="H178:H179" si="187">I178+J178</f>
        <v>0</v>
      </c>
      <c r="I178" s="3058">
        <f>'ANGAJAM LEGAL '!D155</f>
        <v>0</v>
      </c>
      <c r="J178" s="3058">
        <f>'ANGAJAM LEGAL '!G155</f>
        <v>0</v>
      </c>
      <c r="K178" s="3059">
        <f>PLATI!E155</f>
        <v>0</v>
      </c>
      <c r="L178" s="3058">
        <f t="shared" ref="L178:L179" si="188">ROUND(H178-K178,1)</f>
        <v>0</v>
      </c>
      <c r="M178" s="3047"/>
      <c r="N178" s="1675"/>
      <c r="O178" s="1937" t="str">
        <f t="shared" si="131"/>
        <v xml:space="preserve"> </v>
      </c>
      <c r="P178" s="1937" t="str">
        <f t="shared" si="124"/>
        <v xml:space="preserve"> </v>
      </c>
      <c r="Q178" s="723"/>
      <c r="R178" s="1939" t="str">
        <f t="shared" si="125"/>
        <v xml:space="preserve"> </v>
      </c>
      <c r="S178" s="1939" t="str">
        <f t="shared" si="132"/>
        <v xml:space="preserve"> </v>
      </c>
      <c r="T178" s="1937" t="str">
        <f t="shared" si="133"/>
        <v xml:space="preserve"> </v>
      </c>
      <c r="U178" s="1937" t="str">
        <f t="shared" si="121"/>
        <v xml:space="preserve"> </v>
      </c>
      <c r="V178" s="726"/>
    </row>
    <row r="179" spans="1:22" s="729" customFormat="1" ht="136.9" customHeight="1">
      <c r="A179" s="3159" t="s">
        <v>2452</v>
      </c>
      <c r="B179" s="3044"/>
      <c r="C179" s="3045"/>
      <c r="D179" s="3045"/>
      <c r="E179" s="3045"/>
      <c r="F179" s="3046"/>
      <c r="G179" s="3059">
        <f>'ANGAJ BUGETAR'!E156</f>
        <v>0</v>
      </c>
      <c r="H179" s="3058">
        <f t="shared" si="187"/>
        <v>0</v>
      </c>
      <c r="I179" s="3058">
        <f>'ANGAJAM LEGAL '!D156</f>
        <v>0</v>
      </c>
      <c r="J179" s="3058">
        <f>'ANGAJAM LEGAL '!G156</f>
        <v>0</v>
      </c>
      <c r="K179" s="3059">
        <f>PLATI!E156</f>
        <v>0</v>
      </c>
      <c r="L179" s="3058">
        <f t="shared" si="188"/>
        <v>0</v>
      </c>
      <c r="M179" s="3047"/>
      <c r="N179" s="1675"/>
      <c r="O179" s="1937" t="str">
        <f t="shared" si="131"/>
        <v xml:space="preserve"> </v>
      </c>
      <c r="P179" s="1937" t="str">
        <f t="shared" si="124"/>
        <v xml:space="preserve"> </v>
      </c>
      <c r="Q179" s="723"/>
      <c r="R179" s="1939" t="str">
        <f t="shared" si="125"/>
        <v xml:space="preserve"> </v>
      </c>
      <c r="S179" s="1939" t="str">
        <f t="shared" si="132"/>
        <v xml:space="preserve"> </v>
      </c>
      <c r="T179" s="1937" t="str">
        <f t="shared" si="133"/>
        <v xml:space="preserve"> </v>
      </c>
      <c r="U179" s="1937" t="str">
        <f t="shared" si="121"/>
        <v xml:space="preserve"> </v>
      </c>
      <c r="V179" s="726"/>
    </row>
    <row r="180" spans="1:22" s="728" customFormat="1" ht="48">
      <c r="A180" s="3170" t="s">
        <v>2307</v>
      </c>
      <c r="B180" s="3044"/>
      <c r="C180" s="3113">
        <f t="shared" ref="C180:D180" si="189">C181+C184+C185+C186+C187</f>
        <v>8129860</v>
      </c>
      <c r="D180" s="3113">
        <f t="shared" si="189"/>
        <v>6413220</v>
      </c>
      <c r="E180" s="3113">
        <f>E181+E184+E185+E186+E187</f>
        <v>8537230</v>
      </c>
      <c r="F180" s="3113">
        <f t="shared" ref="F180:L180" si="190">F181+F184+F185+F186+F187</f>
        <v>7878330</v>
      </c>
      <c r="G180" s="3113">
        <f t="shared" si="190"/>
        <v>8537230</v>
      </c>
      <c r="H180" s="3113">
        <f t="shared" si="190"/>
        <v>13518598</v>
      </c>
      <c r="I180" s="3113">
        <f t="shared" si="190"/>
        <v>5388738</v>
      </c>
      <c r="J180" s="3113">
        <f t="shared" si="190"/>
        <v>8129860</v>
      </c>
      <c r="K180" s="3113">
        <f t="shared" si="190"/>
        <v>7877982</v>
      </c>
      <c r="L180" s="3113">
        <f t="shared" si="190"/>
        <v>5640616</v>
      </c>
      <c r="M180" s="3114">
        <f>M181+M184+M185+M186+M187</f>
        <v>4722260</v>
      </c>
      <c r="N180" s="1949"/>
      <c r="O180" s="1937" t="str">
        <f t="shared" si="131"/>
        <v xml:space="preserve"> </v>
      </c>
      <c r="P180" s="1937" t="str">
        <f t="shared" si="124"/>
        <v xml:space="preserve"> </v>
      </c>
      <c r="Q180" s="723"/>
      <c r="R180" s="1939" t="str">
        <f t="shared" si="125"/>
        <v xml:space="preserve"> </v>
      </c>
      <c r="S180" s="1939" t="str">
        <f t="shared" si="132"/>
        <v xml:space="preserve"> </v>
      </c>
      <c r="T180" s="1937" t="str">
        <f t="shared" si="133"/>
        <v xml:space="preserve"> </v>
      </c>
      <c r="U180" s="1937" t="str">
        <f t="shared" si="121"/>
        <v xml:space="preserve"> </v>
      </c>
      <c r="V180" s="727"/>
    </row>
    <row r="181" spans="1:22" s="729" customFormat="1" ht="38.25">
      <c r="A181" s="3171" t="s">
        <v>1550</v>
      </c>
      <c r="B181" s="3044"/>
      <c r="C181" s="3058">
        <f>C182+C183</f>
        <v>6606490</v>
      </c>
      <c r="D181" s="3058">
        <f t="shared" ref="D181:M181" si="191">D182+D183</f>
        <v>5211450</v>
      </c>
      <c r="E181" s="3058">
        <f t="shared" si="191"/>
        <v>8036460</v>
      </c>
      <c r="F181" s="3059">
        <f t="shared" si="191"/>
        <v>7377560</v>
      </c>
      <c r="G181" s="3059">
        <f t="shared" si="191"/>
        <v>8036460</v>
      </c>
      <c r="H181" s="3058">
        <f t="shared" si="191"/>
        <v>11995228</v>
      </c>
      <c r="I181" s="3058">
        <f t="shared" si="191"/>
        <v>5388738</v>
      </c>
      <c r="J181" s="3058">
        <f t="shared" si="191"/>
        <v>6606490</v>
      </c>
      <c r="K181" s="3059">
        <f t="shared" si="191"/>
        <v>7377214</v>
      </c>
      <c r="L181" s="3058">
        <f t="shared" si="191"/>
        <v>4618014</v>
      </c>
      <c r="M181" s="3126">
        <f t="shared" si="191"/>
        <v>3720725</v>
      </c>
      <c r="N181" s="1675"/>
      <c r="O181" s="1937" t="str">
        <f t="shared" si="131"/>
        <v xml:space="preserve"> </v>
      </c>
      <c r="P181" s="1937" t="str">
        <f t="shared" si="124"/>
        <v xml:space="preserve"> </v>
      </c>
      <c r="Q181" s="723"/>
      <c r="R181" s="1939" t="str">
        <f t="shared" si="125"/>
        <v xml:space="preserve"> </v>
      </c>
      <c r="S181" s="1939" t="str">
        <f t="shared" si="132"/>
        <v xml:space="preserve"> </v>
      </c>
      <c r="T181" s="1937" t="str">
        <f t="shared" si="133"/>
        <v xml:space="preserve"> </v>
      </c>
      <c r="U181" s="1937" t="str">
        <f t="shared" si="121"/>
        <v xml:space="preserve"> </v>
      </c>
      <c r="V181" s="726"/>
    </row>
    <row r="182" spans="1:22" s="729" customFormat="1" ht="18" customHeight="1">
      <c r="A182" s="3159" t="s">
        <v>2454</v>
      </c>
      <c r="B182" s="3044"/>
      <c r="C182" s="3045">
        <v>6606490</v>
      </c>
      <c r="D182" s="3045">
        <v>5211450</v>
      </c>
      <c r="E182" s="3045">
        <v>8036460</v>
      </c>
      <c r="F182" s="3046">
        <v>7377560</v>
      </c>
      <c r="G182" s="3059">
        <f>'ANGAJ BUGETAR'!E159</f>
        <v>8036460</v>
      </c>
      <c r="H182" s="3058">
        <f t="shared" ref="H182" si="192">I182+J182</f>
        <v>11995228</v>
      </c>
      <c r="I182" s="3058">
        <f>'ANGAJAM LEGAL '!D159</f>
        <v>5388738</v>
      </c>
      <c r="J182" s="3058">
        <f>'ANGAJAM LEGAL '!G159</f>
        <v>6606490</v>
      </c>
      <c r="K182" s="3059">
        <f>PLATI!E159</f>
        <v>7377214</v>
      </c>
      <c r="L182" s="3058">
        <f t="shared" ref="L182" si="193">ROUND(H182-K182,1)</f>
        <v>4618014</v>
      </c>
      <c r="M182" s="3047">
        <v>3720725</v>
      </c>
      <c r="N182" s="1675"/>
      <c r="O182" s="1937" t="str">
        <f t="shared" si="131"/>
        <v xml:space="preserve"> </v>
      </c>
      <c r="P182" s="1937" t="str">
        <f t="shared" si="124"/>
        <v xml:space="preserve"> </v>
      </c>
      <c r="Q182" s="723"/>
      <c r="R182" s="1939" t="str">
        <f t="shared" si="125"/>
        <v xml:space="preserve"> </v>
      </c>
      <c r="S182" s="1939" t="str">
        <f t="shared" si="132"/>
        <v xml:space="preserve"> </v>
      </c>
      <c r="T182" s="1937" t="str">
        <f t="shared" si="133"/>
        <v xml:space="preserve"> </v>
      </c>
      <c r="U182" s="1937" t="str">
        <f t="shared" si="121"/>
        <v xml:space="preserve"> </v>
      </c>
      <c r="V182" s="726"/>
    </row>
    <row r="183" spans="1:22" s="729" customFormat="1" ht="102">
      <c r="A183" s="3159" t="s">
        <v>2452</v>
      </c>
      <c r="B183" s="3044"/>
      <c r="C183" s="3045"/>
      <c r="D183" s="3045"/>
      <c r="E183" s="3045"/>
      <c r="F183" s="3046"/>
      <c r="G183" s="3059">
        <f>'ANGAJ BUGETAR'!E160</f>
        <v>0</v>
      </c>
      <c r="H183" s="3058">
        <f t="shared" ref="H183" si="194">I183+J183</f>
        <v>0</v>
      </c>
      <c r="I183" s="3058">
        <f>'ANGAJAM LEGAL '!D160</f>
        <v>0</v>
      </c>
      <c r="J183" s="3058">
        <f>'ANGAJAM LEGAL '!G160</f>
        <v>0</v>
      </c>
      <c r="K183" s="3059">
        <f>PLATI!E160</f>
        <v>0</v>
      </c>
      <c r="L183" s="3058">
        <f t="shared" ref="L183" si="195">ROUND(H183-K183,1)</f>
        <v>0</v>
      </c>
      <c r="M183" s="3047"/>
      <c r="N183" s="1675"/>
      <c r="O183" s="1937" t="str">
        <f t="shared" si="131"/>
        <v xml:space="preserve"> </v>
      </c>
      <c r="P183" s="1937" t="str">
        <f t="shared" si="124"/>
        <v xml:space="preserve"> </v>
      </c>
      <c r="Q183" s="723"/>
      <c r="R183" s="1939" t="str">
        <f t="shared" si="125"/>
        <v xml:space="preserve"> </v>
      </c>
      <c r="S183" s="1939" t="str">
        <f t="shared" si="132"/>
        <v xml:space="preserve"> </v>
      </c>
      <c r="T183" s="1937" t="str">
        <f t="shared" si="133"/>
        <v xml:space="preserve"> </v>
      </c>
      <c r="U183" s="1937" t="str">
        <f t="shared" si="121"/>
        <v xml:space="preserve"> </v>
      </c>
      <c r="V183" s="726"/>
    </row>
    <row r="184" spans="1:22" s="729" customFormat="1" ht="25.5">
      <c r="A184" s="3171" t="s">
        <v>2567</v>
      </c>
      <c r="B184" s="3044"/>
      <c r="C184" s="3045"/>
      <c r="D184" s="3045"/>
      <c r="E184" s="3045"/>
      <c r="F184" s="3046"/>
      <c r="G184" s="3059">
        <f>'ANGAJ BUGETAR'!E161</f>
        <v>0</v>
      </c>
      <c r="H184" s="3058">
        <f>I184+J184</f>
        <v>0</v>
      </c>
      <c r="I184" s="3058">
        <f>'ANGAJAM LEGAL '!D161</f>
        <v>0</v>
      </c>
      <c r="J184" s="3058">
        <f>'ANGAJAM LEGAL '!G161</f>
        <v>0</v>
      </c>
      <c r="K184" s="3059">
        <f>PLATI!E161</f>
        <v>0</v>
      </c>
      <c r="L184" s="3058">
        <f>ROUND(H184-K184,1)</f>
        <v>0</v>
      </c>
      <c r="M184" s="3047">
        <v>0</v>
      </c>
      <c r="N184" s="1675"/>
      <c r="O184" s="1937" t="str">
        <f t="shared" si="131"/>
        <v xml:space="preserve"> </v>
      </c>
      <c r="P184" s="1937" t="str">
        <f t="shared" si="124"/>
        <v xml:space="preserve"> </v>
      </c>
      <c r="Q184" s="723"/>
      <c r="R184" s="1939" t="str">
        <f t="shared" si="125"/>
        <v xml:space="preserve"> </v>
      </c>
      <c r="S184" s="1939" t="str">
        <f t="shared" si="132"/>
        <v xml:space="preserve"> </v>
      </c>
      <c r="T184" s="1937" t="str">
        <f t="shared" si="133"/>
        <v xml:space="preserve"> </v>
      </c>
      <c r="U184" s="1937" t="str">
        <f t="shared" si="121"/>
        <v xml:space="preserve"> </v>
      </c>
      <c r="V184" s="726"/>
    </row>
    <row r="185" spans="1:22" s="729" customFormat="1" ht="38.25">
      <c r="A185" s="3438" t="s">
        <v>2421</v>
      </c>
      <c r="B185" s="3187"/>
      <c r="C185" s="3197">
        <v>1523370</v>
      </c>
      <c r="D185" s="3197">
        <v>1201770</v>
      </c>
      <c r="E185" s="3197">
        <v>500770</v>
      </c>
      <c r="F185" s="3198">
        <v>500770</v>
      </c>
      <c r="G185" s="3199">
        <f>'ANGAJ BUGETAR'!E162</f>
        <v>500770</v>
      </c>
      <c r="H185" s="3188">
        <f>I185+J185</f>
        <v>1523370</v>
      </c>
      <c r="I185" s="3188">
        <f>'ANGAJAM LEGAL '!D162</f>
        <v>0</v>
      </c>
      <c r="J185" s="3188">
        <f>'ANGAJAM LEGAL '!G162</f>
        <v>1523370</v>
      </c>
      <c r="K185" s="3199">
        <f>PLATI!E162</f>
        <v>500768</v>
      </c>
      <c r="L185" s="3188">
        <f>ROUND(H185-K185,1)</f>
        <v>1022602</v>
      </c>
      <c r="M185" s="3200">
        <v>1001535</v>
      </c>
      <c r="N185" s="1675"/>
      <c r="O185" s="1937" t="str">
        <f t="shared" si="131"/>
        <v xml:space="preserve"> </v>
      </c>
      <c r="P185" s="1937" t="str">
        <f t="shared" si="124"/>
        <v xml:space="preserve"> </v>
      </c>
      <c r="Q185" s="723"/>
      <c r="R185" s="1939" t="str">
        <f t="shared" si="125"/>
        <v xml:space="preserve"> </v>
      </c>
      <c r="S185" s="1939" t="str">
        <f t="shared" si="132"/>
        <v xml:space="preserve"> </v>
      </c>
      <c r="T185" s="1937" t="str">
        <f t="shared" si="133"/>
        <v xml:space="preserve"> </v>
      </c>
      <c r="U185" s="1937" t="str">
        <f t="shared" si="121"/>
        <v xml:space="preserve"> </v>
      </c>
      <c r="V185" s="726"/>
    </row>
    <row r="186" spans="1:22" s="729" customFormat="1" ht="34.15" customHeight="1">
      <c r="A186" s="3911" t="s">
        <v>2292</v>
      </c>
      <c r="B186" s="2719"/>
      <c r="C186" s="2720"/>
      <c r="D186" s="2720"/>
      <c r="E186" s="2720"/>
      <c r="F186" s="2721"/>
      <c r="G186" s="2722">
        <f>'ANGAJ BUGETAR'!E163</f>
        <v>0</v>
      </c>
      <c r="H186" s="2723">
        <f>I186+J186</f>
        <v>0</v>
      </c>
      <c r="I186" s="2723">
        <f>'ANGAJAM LEGAL '!D163</f>
        <v>0</v>
      </c>
      <c r="J186" s="2723">
        <f>'ANGAJAM LEGAL '!G163</f>
        <v>0</v>
      </c>
      <c r="K186" s="2722">
        <f>PLATI!E163</f>
        <v>0</v>
      </c>
      <c r="L186" s="2723">
        <f>ROUND(H186-K186,1)</f>
        <v>0</v>
      </c>
      <c r="M186" s="2724"/>
      <c r="N186" s="1675"/>
      <c r="O186" s="1937" t="str">
        <f t="shared" si="131"/>
        <v xml:space="preserve"> </v>
      </c>
      <c r="P186" s="1937" t="str">
        <f t="shared" si="124"/>
        <v xml:space="preserve"> </v>
      </c>
      <c r="Q186" s="723"/>
      <c r="R186" s="1939" t="str">
        <f t="shared" si="125"/>
        <v xml:space="preserve"> </v>
      </c>
      <c r="S186" s="1939" t="str">
        <f t="shared" si="132"/>
        <v xml:space="preserve"> </v>
      </c>
      <c r="T186" s="1937" t="str">
        <f t="shared" si="133"/>
        <v xml:space="preserve"> </v>
      </c>
      <c r="U186" s="1937" t="str">
        <f t="shared" si="121"/>
        <v xml:space="preserve"> </v>
      </c>
      <c r="V186" s="726"/>
    </row>
    <row r="187" spans="1:22" s="729" customFormat="1" ht="24">
      <c r="A187" s="3172" t="s">
        <v>2123</v>
      </c>
      <c r="B187" s="3044"/>
      <c r="C187" s="3058">
        <f>C188+C189</f>
        <v>0</v>
      </c>
      <c r="D187" s="3058">
        <f t="shared" ref="D187:M187" si="196">D188+D189</f>
        <v>0</v>
      </c>
      <c r="E187" s="3058">
        <f t="shared" si="196"/>
        <v>0</v>
      </c>
      <c r="F187" s="3058">
        <f t="shared" si="196"/>
        <v>0</v>
      </c>
      <c r="G187" s="3059">
        <f t="shared" si="196"/>
        <v>0</v>
      </c>
      <c r="H187" s="3058">
        <f t="shared" si="196"/>
        <v>0</v>
      </c>
      <c r="I187" s="3058">
        <f t="shared" si="196"/>
        <v>0</v>
      </c>
      <c r="J187" s="3058">
        <f t="shared" si="196"/>
        <v>0</v>
      </c>
      <c r="K187" s="3059">
        <f t="shared" si="196"/>
        <v>0</v>
      </c>
      <c r="L187" s="3058">
        <f t="shared" si="196"/>
        <v>0</v>
      </c>
      <c r="M187" s="3126">
        <f t="shared" si="196"/>
        <v>0</v>
      </c>
      <c r="N187" s="1675"/>
      <c r="O187" s="1937" t="str">
        <f t="shared" si="131"/>
        <v xml:space="preserve"> </v>
      </c>
      <c r="P187" s="1937" t="str">
        <f t="shared" si="124"/>
        <v xml:space="preserve"> </v>
      </c>
      <c r="Q187" s="723"/>
      <c r="R187" s="1939" t="str">
        <f t="shared" si="125"/>
        <v xml:space="preserve"> </v>
      </c>
      <c r="S187" s="1939" t="str">
        <f t="shared" si="132"/>
        <v xml:space="preserve"> </v>
      </c>
      <c r="T187" s="1937" t="str">
        <f t="shared" si="133"/>
        <v xml:space="preserve"> </v>
      </c>
      <c r="U187" s="1937" t="str">
        <f t="shared" si="121"/>
        <v xml:space="preserve"> </v>
      </c>
      <c r="V187" s="726"/>
    </row>
    <row r="188" spans="1:22" s="729" customFormat="1">
      <c r="A188" s="3173" t="s">
        <v>2454</v>
      </c>
      <c r="B188" s="3044"/>
      <c r="C188" s="3045"/>
      <c r="D188" s="3045"/>
      <c r="E188" s="3045"/>
      <c r="F188" s="3046"/>
      <c r="G188" s="3059">
        <f>'ANGAJ BUGETAR'!E165</f>
        <v>0</v>
      </c>
      <c r="H188" s="3058">
        <f t="shared" ref="H188:H189" si="197">I188+J188</f>
        <v>0</v>
      </c>
      <c r="I188" s="3058">
        <f>'ANGAJAM LEGAL '!D165</f>
        <v>0</v>
      </c>
      <c r="J188" s="3058">
        <f>'ANGAJAM LEGAL '!G165</f>
        <v>0</v>
      </c>
      <c r="K188" s="3059">
        <f>PLATI!E165</f>
        <v>0</v>
      </c>
      <c r="L188" s="3058">
        <f t="shared" ref="L188:L189" si="198">ROUND(H188-K188,1)</f>
        <v>0</v>
      </c>
      <c r="M188" s="3047"/>
      <c r="N188" s="1675"/>
      <c r="O188" s="1937" t="str">
        <f t="shared" si="131"/>
        <v xml:space="preserve"> </v>
      </c>
      <c r="P188" s="1937" t="str">
        <f t="shared" si="124"/>
        <v xml:space="preserve"> </v>
      </c>
      <c r="Q188" s="723"/>
      <c r="R188" s="1939" t="str">
        <f t="shared" si="125"/>
        <v xml:space="preserve"> </v>
      </c>
      <c r="S188" s="1939" t="str">
        <f t="shared" si="132"/>
        <v xml:space="preserve"> </v>
      </c>
      <c r="T188" s="1937" t="str">
        <f t="shared" si="133"/>
        <v xml:space="preserve"> </v>
      </c>
      <c r="U188" s="1937" t="str">
        <f t="shared" si="121"/>
        <v xml:space="preserve"> </v>
      </c>
      <c r="V188" s="726"/>
    </row>
    <row r="189" spans="1:22" s="729" customFormat="1" ht="96">
      <c r="A189" s="3173" t="s">
        <v>2452</v>
      </c>
      <c r="B189" s="3044"/>
      <c r="C189" s="3045"/>
      <c r="D189" s="3045"/>
      <c r="E189" s="3045"/>
      <c r="F189" s="3046"/>
      <c r="G189" s="3059">
        <f>'ANGAJ BUGETAR'!E166</f>
        <v>0</v>
      </c>
      <c r="H189" s="3058">
        <f t="shared" si="197"/>
        <v>0</v>
      </c>
      <c r="I189" s="3058">
        <f>'ANGAJAM LEGAL '!D166</f>
        <v>0</v>
      </c>
      <c r="J189" s="3058">
        <f>'ANGAJAM LEGAL '!G166</f>
        <v>0</v>
      </c>
      <c r="K189" s="3059">
        <f>PLATI!E166</f>
        <v>0</v>
      </c>
      <c r="L189" s="3058">
        <f t="shared" si="198"/>
        <v>0</v>
      </c>
      <c r="M189" s="3047"/>
      <c r="N189" s="1675"/>
      <c r="O189" s="1937" t="str">
        <f t="shared" si="131"/>
        <v xml:space="preserve"> </v>
      </c>
      <c r="P189" s="1937" t="str">
        <f t="shared" si="124"/>
        <v xml:space="preserve"> </v>
      </c>
      <c r="Q189" s="723"/>
      <c r="R189" s="1939" t="str">
        <f t="shared" si="125"/>
        <v xml:space="preserve"> </v>
      </c>
      <c r="S189" s="1939" t="str">
        <f t="shared" si="132"/>
        <v xml:space="preserve"> </v>
      </c>
      <c r="T189" s="1937" t="str">
        <f t="shared" si="133"/>
        <v xml:space="preserve"> </v>
      </c>
      <c r="U189" s="1937" t="str">
        <f t="shared" si="121"/>
        <v xml:space="preserve"> </v>
      </c>
      <c r="V189" s="726"/>
    </row>
    <row r="190" spans="1:22" s="737" customFormat="1" ht="38.25">
      <c r="A190" s="3146" t="s">
        <v>832</v>
      </c>
      <c r="B190" s="3052" t="s">
        <v>833</v>
      </c>
      <c r="C190" s="3060">
        <f>+C192+C195+C198+C201+C204+C205+C206+C209+C210+C211</f>
        <v>1362660</v>
      </c>
      <c r="D190" s="3060">
        <f t="shared" ref="D190:L190" si="199">+D192+D195+D198+D201+D204+D205+D206+D209+D210+D211</f>
        <v>982820</v>
      </c>
      <c r="E190" s="3060">
        <f t="shared" si="199"/>
        <v>1320180</v>
      </c>
      <c r="F190" s="3060">
        <f t="shared" si="199"/>
        <v>1141870</v>
      </c>
      <c r="G190" s="3060">
        <f t="shared" si="199"/>
        <v>1320180</v>
      </c>
      <c r="H190" s="3060">
        <f t="shared" si="199"/>
        <v>2038538</v>
      </c>
      <c r="I190" s="3060">
        <f t="shared" si="199"/>
        <v>675878</v>
      </c>
      <c r="J190" s="3060">
        <f t="shared" si="199"/>
        <v>1362660</v>
      </c>
      <c r="K190" s="3060">
        <f t="shared" si="199"/>
        <v>1141735</v>
      </c>
      <c r="L190" s="3060">
        <f t="shared" si="199"/>
        <v>896803</v>
      </c>
      <c r="M190" s="3068">
        <f>+M192+M195+M198+M201+M204+M205+M206+M209+M210+M211</f>
        <v>799974</v>
      </c>
      <c r="N190" s="1950"/>
      <c r="O190" s="1937" t="str">
        <f t="shared" si="131"/>
        <v xml:space="preserve"> </v>
      </c>
      <c r="P190" s="1937" t="str">
        <f t="shared" si="124"/>
        <v xml:space="preserve"> </v>
      </c>
      <c r="Q190" s="723"/>
      <c r="R190" s="1939" t="str">
        <f t="shared" si="125"/>
        <v xml:space="preserve"> </v>
      </c>
      <c r="S190" s="1939" t="str">
        <f t="shared" si="132"/>
        <v xml:space="preserve"> </v>
      </c>
      <c r="T190" s="1937" t="str">
        <f t="shared" si="133"/>
        <v xml:space="preserve"> </v>
      </c>
      <c r="U190" s="1937" t="str">
        <f t="shared" si="121"/>
        <v xml:space="preserve"> </v>
      </c>
      <c r="V190" s="736"/>
    </row>
    <row r="191" spans="1:22" s="1923" customFormat="1" ht="18" hidden="1" customHeight="1">
      <c r="A191" s="3382" t="s">
        <v>1539</v>
      </c>
      <c r="B191" s="3151"/>
      <c r="C191" s="3168"/>
      <c r="D191" s="3168"/>
      <c r="E191" s="3168"/>
      <c r="F191" s="3168"/>
      <c r="G191" s="3168"/>
      <c r="H191" s="3168"/>
      <c r="I191" s="3168"/>
      <c r="J191" s="3168"/>
      <c r="K191" s="3168"/>
      <c r="L191" s="3168"/>
      <c r="M191" s="3169"/>
      <c r="N191" s="1955"/>
      <c r="O191" s="1937" t="str">
        <f t="shared" si="131"/>
        <v xml:space="preserve"> </v>
      </c>
      <c r="P191" s="1937" t="str">
        <f t="shared" si="124"/>
        <v xml:space="preserve"> </v>
      </c>
      <c r="Q191" s="723"/>
      <c r="R191" s="1939" t="str">
        <f t="shared" si="125"/>
        <v xml:space="preserve"> </v>
      </c>
      <c r="S191" s="1939" t="str">
        <f t="shared" si="132"/>
        <v xml:space="preserve"> </v>
      </c>
      <c r="T191" s="1937" t="str">
        <f t="shared" si="133"/>
        <v xml:space="preserve"> </v>
      </c>
      <c r="U191" s="1937" t="str">
        <f t="shared" si="121"/>
        <v xml:space="preserve"> </v>
      </c>
      <c r="V191" s="1922"/>
    </row>
    <row r="192" spans="1:22" s="728" customFormat="1" ht="25.5">
      <c r="A192" s="3159" t="s">
        <v>1544</v>
      </c>
      <c r="B192" s="3044"/>
      <c r="C192" s="3058">
        <f t="shared" ref="C192:D192" si="200">C193+C194</f>
        <v>1066290</v>
      </c>
      <c r="D192" s="3058">
        <f t="shared" si="200"/>
        <v>805160</v>
      </c>
      <c r="E192" s="3058">
        <f>E193+E194</f>
        <v>1057320</v>
      </c>
      <c r="F192" s="3059">
        <f t="shared" ref="F192:L192" si="201">F193+F194</f>
        <v>938700</v>
      </c>
      <c r="G192" s="3059">
        <f t="shared" si="201"/>
        <v>1057320</v>
      </c>
      <c r="H192" s="3058">
        <f t="shared" si="201"/>
        <v>1603032</v>
      </c>
      <c r="I192" s="3058">
        <f t="shared" si="201"/>
        <v>536742</v>
      </c>
      <c r="J192" s="3058">
        <f t="shared" si="201"/>
        <v>1066290</v>
      </c>
      <c r="K192" s="3059">
        <f t="shared" si="201"/>
        <v>938664</v>
      </c>
      <c r="L192" s="3058">
        <f t="shared" si="201"/>
        <v>664368</v>
      </c>
      <c r="M192" s="3126">
        <f>M193+M194</f>
        <v>659065</v>
      </c>
      <c r="N192" s="1675"/>
      <c r="O192" s="1937" t="str">
        <f t="shared" si="131"/>
        <v xml:space="preserve"> </v>
      </c>
      <c r="P192" s="1937" t="str">
        <f t="shared" si="124"/>
        <v xml:space="preserve"> </v>
      </c>
      <c r="Q192" s="723"/>
      <c r="R192" s="1939" t="str">
        <f t="shared" si="125"/>
        <v xml:space="preserve"> </v>
      </c>
      <c r="S192" s="1939" t="str">
        <f t="shared" si="132"/>
        <v xml:space="preserve"> </v>
      </c>
      <c r="T192" s="1937" t="str">
        <f t="shared" si="133"/>
        <v xml:space="preserve"> </v>
      </c>
      <c r="U192" s="1937" t="str">
        <f t="shared" si="121"/>
        <v xml:space="preserve"> </v>
      </c>
      <c r="V192" s="727"/>
    </row>
    <row r="193" spans="1:22" s="728" customFormat="1" ht="18" customHeight="1">
      <c r="A193" s="3159" t="s">
        <v>2454</v>
      </c>
      <c r="B193" s="3044"/>
      <c r="C193" s="3045">
        <v>1066290</v>
      </c>
      <c r="D193" s="3045">
        <v>805160</v>
      </c>
      <c r="E193" s="3045">
        <v>1057320</v>
      </c>
      <c r="F193" s="3046">
        <v>938700</v>
      </c>
      <c r="G193" s="3059">
        <f>'ANGAJ BUGETAR'!E170</f>
        <v>1057320</v>
      </c>
      <c r="H193" s="3058">
        <f t="shared" ref="H193" si="202">I193+J193</f>
        <v>1603032</v>
      </c>
      <c r="I193" s="3058">
        <f>'ANGAJAM LEGAL '!D170</f>
        <v>536742</v>
      </c>
      <c r="J193" s="3058">
        <f>'ANGAJAM LEGAL '!G170</f>
        <v>1066290</v>
      </c>
      <c r="K193" s="3059">
        <f>PLATI!E170</f>
        <v>938664</v>
      </c>
      <c r="L193" s="3058">
        <f t="shared" ref="L193" si="203">ROUND(H193-K193,1)</f>
        <v>664368</v>
      </c>
      <c r="M193" s="3047">
        <v>659065</v>
      </c>
      <c r="N193" s="1675"/>
      <c r="O193" s="1937" t="str">
        <f t="shared" si="131"/>
        <v xml:space="preserve"> </v>
      </c>
      <c r="P193" s="1937" t="str">
        <f t="shared" si="124"/>
        <v xml:space="preserve"> </v>
      </c>
      <c r="Q193" s="723"/>
      <c r="R193" s="1939" t="str">
        <f t="shared" si="125"/>
        <v xml:space="preserve"> </v>
      </c>
      <c r="S193" s="1939" t="str">
        <f t="shared" si="132"/>
        <v xml:space="preserve"> </v>
      </c>
      <c r="T193" s="1937" t="str">
        <f t="shared" si="133"/>
        <v xml:space="preserve"> </v>
      </c>
      <c r="U193" s="1937" t="str">
        <f t="shared" si="121"/>
        <v xml:space="preserve"> </v>
      </c>
      <c r="V193" s="727"/>
    </row>
    <row r="194" spans="1:22" s="728" customFormat="1" ht="102">
      <c r="A194" s="3159" t="s">
        <v>2452</v>
      </c>
      <c r="B194" s="3044"/>
      <c r="C194" s="3045"/>
      <c r="D194" s="3045"/>
      <c r="E194" s="3045"/>
      <c r="F194" s="3046"/>
      <c r="G194" s="3059">
        <f>'ANGAJ BUGETAR'!E171</f>
        <v>0</v>
      </c>
      <c r="H194" s="3058">
        <f t="shared" ref="H194" si="204">I194+J194</f>
        <v>0</v>
      </c>
      <c r="I194" s="3058">
        <f>'ANGAJAM LEGAL '!D171</f>
        <v>0</v>
      </c>
      <c r="J194" s="3058">
        <f>'ANGAJAM LEGAL '!G171</f>
        <v>0</v>
      </c>
      <c r="K194" s="3059">
        <f>PLATI!E171</f>
        <v>0</v>
      </c>
      <c r="L194" s="3058">
        <f t="shared" ref="L194" si="205">ROUND(H194-K194,1)</f>
        <v>0</v>
      </c>
      <c r="M194" s="3047"/>
      <c r="N194" s="1675"/>
      <c r="O194" s="1937" t="str">
        <f t="shared" si="131"/>
        <v xml:space="preserve"> </v>
      </c>
      <c r="P194" s="1937" t="str">
        <f t="shared" si="124"/>
        <v xml:space="preserve"> </v>
      </c>
      <c r="Q194" s="723"/>
      <c r="R194" s="1939" t="str">
        <f t="shared" si="125"/>
        <v xml:space="preserve"> </v>
      </c>
      <c r="S194" s="1939" t="str">
        <f t="shared" si="132"/>
        <v xml:space="preserve"> </v>
      </c>
      <c r="T194" s="1937" t="str">
        <f t="shared" si="133"/>
        <v xml:space="preserve"> </v>
      </c>
      <c r="U194" s="1937" t="str">
        <f t="shared" si="121"/>
        <v xml:space="preserve"> </v>
      </c>
      <c r="V194" s="727"/>
    </row>
    <row r="195" spans="1:22" s="728" customFormat="1" ht="87" customHeight="1">
      <c r="A195" s="3159" t="s">
        <v>2056</v>
      </c>
      <c r="B195" s="3044"/>
      <c r="C195" s="3058">
        <f t="shared" ref="C195:D195" si="206">C196+C197</f>
        <v>173710</v>
      </c>
      <c r="D195" s="3058">
        <f t="shared" si="206"/>
        <v>95000</v>
      </c>
      <c r="E195" s="3058">
        <f>E196+E197</f>
        <v>88530</v>
      </c>
      <c r="F195" s="3059">
        <f t="shared" ref="F195:L195" si="207">F196+F197</f>
        <v>44680</v>
      </c>
      <c r="G195" s="3059">
        <f t="shared" si="207"/>
        <v>88530</v>
      </c>
      <c r="H195" s="3058">
        <f t="shared" si="207"/>
        <v>194378</v>
      </c>
      <c r="I195" s="3058">
        <f t="shared" si="207"/>
        <v>20668</v>
      </c>
      <c r="J195" s="3058">
        <f t="shared" si="207"/>
        <v>173710</v>
      </c>
      <c r="K195" s="3059">
        <f t="shared" si="207"/>
        <v>44581</v>
      </c>
      <c r="L195" s="3058">
        <f t="shared" si="207"/>
        <v>149797</v>
      </c>
      <c r="M195" s="3126">
        <f>M196+M197</f>
        <v>69759</v>
      </c>
      <c r="N195" s="1675"/>
      <c r="O195" s="1937" t="str">
        <f t="shared" si="131"/>
        <v xml:space="preserve"> </v>
      </c>
      <c r="P195" s="1937" t="str">
        <f t="shared" si="124"/>
        <v xml:space="preserve"> </v>
      </c>
      <c r="Q195" s="723"/>
      <c r="R195" s="1939" t="str">
        <f t="shared" si="125"/>
        <v xml:space="preserve"> </v>
      </c>
      <c r="S195" s="1939" t="str">
        <f t="shared" si="132"/>
        <v xml:space="preserve"> </v>
      </c>
      <c r="T195" s="1937" t="str">
        <f t="shared" si="133"/>
        <v xml:space="preserve"> </v>
      </c>
      <c r="U195" s="1937" t="str">
        <f t="shared" si="121"/>
        <v xml:space="preserve"> </v>
      </c>
      <c r="V195" s="727"/>
    </row>
    <row r="196" spans="1:22" s="728" customFormat="1" ht="31.9" customHeight="1">
      <c r="A196" s="3159" t="s">
        <v>2454</v>
      </c>
      <c r="B196" s="3044"/>
      <c r="C196" s="3045">
        <v>173710</v>
      </c>
      <c r="D196" s="3045">
        <v>95000</v>
      </c>
      <c r="E196" s="3045">
        <v>88530</v>
      </c>
      <c r="F196" s="3046">
        <v>44680</v>
      </c>
      <c r="G196" s="3059">
        <f>'ANGAJ BUGETAR'!E173</f>
        <v>88530</v>
      </c>
      <c r="H196" s="3058">
        <f t="shared" ref="H196" si="208">I196+J196</f>
        <v>194378</v>
      </c>
      <c r="I196" s="3058">
        <f>'ANGAJAM LEGAL '!D173</f>
        <v>20668</v>
      </c>
      <c r="J196" s="3058">
        <f>'ANGAJAM LEGAL '!G173</f>
        <v>173710</v>
      </c>
      <c r="K196" s="3059">
        <f>PLATI!E173</f>
        <v>44581</v>
      </c>
      <c r="L196" s="3058">
        <f t="shared" ref="L196" si="209">ROUND(H196-K196,1)</f>
        <v>149797</v>
      </c>
      <c r="M196" s="3047">
        <v>69759</v>
      </c>
      <c r="N196" s="1675"/>
      <c r="O196" s="1937" t="str">
        <f t="shared" si="131"/>
        <v xml:space="preserve"> </v>
      </c>
      <c r="P196" s="1937" t="str">
        <f t="shared" si="124"/>
        <v xml:space="preserve"> </v>
      </c>
      <c r="Q196" s="723"/>
      <c r="R196" s="1939" t="str">
        <f t="shared" si="125"/>
        <v xml:space="preserve"> </v>
      </c>
      <c r="S196" s="1939" t="str">
        <f t="shared" si="132"/>
        <v xml:space="preserve"> </v>
      </c>
      <c r="T196" s="1937" t="str">
        <f t="shared" si="133"/>
        <v xml:space="preserve"> </v>
      </c>
      <c r="U196" s="1937" t="str">
        <f t="shared" si="121"/>
        <v xml:space="preserve"> </v>
      </c>
      <c r="V196" s="727"/>
    </row>
    <row r="197" spans="1:22" s="728" customFormat="1" ht="102">
      <c r="A197" s="3159" t="s">
        <v>2452</v>
      </c>
      <c r="B197" s="3044"/>
      <c r="C197" s="3045"/>
      <c r="D197" s="3045"/>
      <c r="E197" s="3045"/>
      <c r="F197" s="3046"/>
      <c r="G197" s="3059">
        <f>'ANGAJ BUGETAR'!E174</f>
        <v>0</v>
      </c>
      <c r="H197" s="3058">
        <f t="shared" ref="H197" si="210">I197+J197</f>
        <v>0</v>
      </c>
      <c r="I197" s="3058">
        <f>'ANGAJAM LEGAL '!D174</f>
        <v>0</v>
      </c>
      <c r="J197" s="3058">
        <f>'ANGAJAM LEGAL '!G174</f>
        <v>0</v>
      </c>
      <c r="K197" s="3059">
        <f>PLATI!E174</f>
        <v>0</v>
      </c>
      <c r="L197" s="3058">
        <f t="shared" ref="L197" si="211">ROUND(H197-K197,1)</f>
        <v>0</v>
      </c>
      <c r="M197" s="3047"/>
      <c r="N197" s="1675"/>
      <c r="O197" s="1937" t="str">
        <f t="shared" si="131"/>
        <v xml:space="preserve"> </v>
      </c>
      <c r="P197" s="1937" t="str">
        <f t="shared" si="124"/>
        <v xml:space="preserve"> </v>
      </c>
      <c r="Q197" s="723"/>
      <c r="R197" s="1939" t="str">
        <f t="shared" si="125"/>
        <v xml:space="preserve"> </v>
      </c>
      <c r="S197" s="1939" t="str">
        <f t="shared" si="132"/>
        <v xml:space="preserve"> </v>
      </c>
      <c r="T197" s="1937" t="str">
        <f t="shared" si="133"/>
        <v xml:space="preserve"> </v>
      </c>
      <c r="U197" s="1937" t="str">
        <f t="shared" ref="U197:U265" si="212">IF(L197&lt;0," EROARE"," ")</f>
        <v xml:space="preserve"> </v>
      </c>
      <c r="V197" s="727"/>
    </row>
    <row r="198" spans="1:22" s="728" customFormat="1" ht="39.6" customHeight="1">
      <c r="A198" s="3159" t="s">
        <v>1551</v>
      </c>
      <c r="B198" s="3044"/>
      <c r="C198" s="3058">
        <f t="shared" ref="C198:D198" si="213">C199+C200</f>
        <v>122660</v>
      </c>
      <c r="D198" s="3058">
        <f t="shared" si="213"/>
        <v>82660</v>
      </c>
      <c r="E198" s="3058">
        <f>E199+E200</f>
        <v>174330</v>
      </c>
      <c r="F198" s="3059">
        <f t="shared" ref="F198:L198" si="214">F199+F200</f>
        <v>158490</v>
      </c>
      <c r="G198" s="3059">
        <f t="shared" si="214"/>
        <v>174330</v>
      </c>
      <c r="H198" s="3058">
        <f t="shared" si="214"/>
        <v>241128</v>
      </c>
      <c r="I198" s="3058">
        <f t="shared" si="214"/>
        <v>118468</v>
      </c>
      <c r="J198" s="3058">
        <f t="shared" si="214"/>
        <v>122660</v>
      </c>
      <c r="K198" s="3059">
        <f t="shared" si="214"/>
        <v>158490</v>
      </c>
      <c r="L198" s="3058">
        <f t="shared" si="214"/>
        <v>82638</v>
      </c>
      <c r="M198" s="3126">
        <f>M199+M200</f>
        <v>71150</v>
      </c>
      <c r="N198" s="1675"/>
      <c r="O198" s="1937" t="str">
        <f t="shared" si="131"/>
        <v xml:space="preserve"> </v>
      </c>
      <c r="P198" s="1937" t="str">
        <f t="shared" si="124"/>
        <v xml:space="preserve"> </v>
      </c>
      <c r="Q198" s="723"/>
      <c r="R198" s="1939" t="str">
        <f t="shared" si="125"/>
        <v xml:space="preserve"> </v>
      </c>
      <c r="S198" s="1939" t="str">
        <f t="shared" si="132"/>
        <v xml:space="preserve"> </v>
      </c>
      <c r="T198" s="1937" t="str">
        <f t="shared" si="133"/>
        <v xml:space="preserve"> </v>
      </c>
      <c r="U198" s="1937" t="str">
        <f t="shared" si="212"/>
        <v xml:space="preserve"> </v>
      </c>
      <c r="V198" s="727"/>
    </row>
    <row r="199" spans="1:22" s="728" customFormat="1" ht="25.9" customHeight="1">
      <c r="A199" s="3209" t="s">
        <v>2454</v>
      </c>
      <c r="B199" s="3187"/>
      <c r="C199" s="3197">
        <v>122660</v>
      </c>
      <c r="D199" s="3197">
        <v>82660</v>
      </c>
      <c r="E199" s="3197">
        <v>174330</v>
      </c>
      <c r="F199" s="3198">
        <v>158490</v>
      </c>
      <c r="G199" s="3199">
        <f>'ANGAJ BUGETAR'!E176</f>
        <v>174330</v>
      </c>
      <c r="H199" s="3188">
        <f t="shared" ref="H199" si="215">I199+J199</f>
        <v>241128</v>
      </c>
      <c r="I199" s="3188">
        <f>'ANGAJAM LEGAL '!D176</f>
        <v>118468</v>
      </c>
      <c r="J199" s="3188">
        <f>'ANGAJAM LEGAL '!G176</f>
        <v>122660</v>
      </c>
      <c r="K199" s="3199">
        <f>PLATI!E176</f>
        <v>158490</v>
      </c>
      <c r="L199" s="3188">
        <f t="shared" ref="L199" si="216">ROUND(H199-K199,1)</f>
        <v>82638</v>
      </c>
      <c r="M199" s="3200">
        <v>71150</v>
      </c>
      <c r="N199" s="1675"/>
      <c r="O199" s="1937" t="str">
        <f t="shared" si="131"/>
        <v xml:space="preserve"> </v>
      </c>
      <c r="P199" s="1937" t="str">
        <f t="shared" si="124"/>
        <v xml:space="preserve"> </v>
      </c>
      <c r="Q199" s="723"/>
      <c r="R199" s="1939" t="str">
        <f t="shared" si="125"/>
        <v xml:space="preserve"> </v>
      </c>
      <c r="S199" s="1939" t="str">
        <f t="shared" si="132"/>
        <v xml:space="preserve"> </v>
      </c>
      <c r="T199" s="1937" t="str">
        <f t="shared" si="133"/>
        <v xml:space="preserve"> </v>
      </c>
      <c r="U199" s="1937" t="str">
        <f t="shared" si="212"/>
        <v xml:space="preserve"> </v>
      </c>
      <c r="V199" s="727"/>
    </row>
    <row r="200" spans="1:22" s="728" customFormat="1" ht="116.45" customHeight="1">
      <c r="A200" s="3897" t="s">
        <v>2452</v>
      </c>
      <c r="B200" s="2719"/>
      <c r="C200" s="2720"/>
      <c r="D200" s="2720"/>
      <c r="E200" s="2720"/>
      <c r="F200" s="2721"/>
      <c r="G200" s="2722">
        <f>'ANGAJ BUGETAR'!E177</f>
        <v>0</v>
      </c>
      <c r="H200" s="2723">
        <f t="shared" ref="H200:H203" si="217">I200+J200</f>
        <v>0</v>
      </c>
      <c r="I200" s="2723">
        <f>'ANGAJAM LEGAL '!D177</f>
        <v>0</v>
      </c>
      <c r="J200" s="2723">
        <f>'ANGAJAM LEGAL '!G177</f>
        <v>0</v>
      </c>
      <c r="K200" s="2722">
        <f>PLATI!E177</f>
        <v>0</v>
      </c>
      <c r="L200" s="2723">
        <f t="shared" ref="L200:L203" si="218">ROUND(H200-K200,1)</f>
        <v>0</v>
      </c>
      <c r="M200" s="2724"/>
      <c r="N200" s="1675"/>
      <c r="O200" s="1937" t="str">
        <f t="shared" si="131"/>
        <v xml:space="preserve"> </v>
      </c>
      <c r="P200" s="1937" t="str">
        <f t="shared" ref="P200:P268" si="219">IF(E200&lt;G200," EROARE"," ")</f>
        <v xml:space="preserve"> </v>
      </c>
      <c r="Q200" s="723"/>
      <c r="R200" s="1939" t="str">
        <f t="shared" ref="R200:R268" si="220">IF(C200&lt;J200," EROARE"," ")</f>
        <v xml:space="preserve"> </v>
      </c>
      <c r="S200" s="1939" t="str">
        <f t="shared" si="132"/>
        <v xml:space="preserve"> </v>
      </c>
      <c r="T200" s="1937" t="str">
        <f t="shared" si="133"/>
        <v xml:space="preserve"> </v>
      </c>
      <c r="U200" s="1937" t="str">
        <f t="shared" si="212"/>
        <v xml:space="preserve"> </v>
      </c>
      <c r="V200" s="727"/>
    </row>
    <row r="201" spans="1:22" s="728" customFormat="1" ht="38.25">
      <c r="A201" s="3159" t="s">
        <v>1552</v>
      </c>
      <c r="B201" s="3044"/>
      <c r="C201" s="3058">
        <f>C202+C203</f>
        <v>0</v>
      </c>
      <c r="D201" s="3058">
        <f t="shared" ref="D201:M201" si="221">D202+D203</f>
        <v>0</v>
      </c>
      <c r="E201" s="3058">
        <f t="shared" si="221"/>
        <v>0</v>
      </c>
      <c r="F201" s="3059">
        <f t="shared" si="221"/>
        <v>0</v>
      </c>
      <c r="G201" s="3059">
        <f t="shared" si="221"/>
        <v>0</v>
      </c>
      <c r="H201" s="3058">
        <f t="shared" si="221"/>
        <v>0</v>
      </c>
      <c r="I201" s="3058">
        <f t="shared" si="221"/>
        <v>0</v>
      </c>
      <c r="J201" s="3058">
        <f t="shared" si="221"/>
        <v>0</v>
      </c>
      <c r="K201" s="3059">
        <f t="shared" si="221"/>
        <v>0</v>
      </c>
      <c r="L201" s="3058">
        <f t="shared" si="221"/>
        <v>0</v>
      </c>
      <c r="M201" s="3126">
        <f t="shared" si="221"/>
        <v>0</v>
      </c>
      <c r="N201" s="1675"/>
      <c r="O201" s="1937" t="str">
        <f t="shared" si="131"/>
        <v xml:space="preserve"> </v>
      </c>
      <c r="P201" s="1937" t="str">
        <f t="shared" si="219"/>
        <v xml:space="preserve"> </v>
      </c>
      <c r="Q201" s="723"/>
      <c r="R201" s="1939" t="str">
        <f t="shared" si="220"/>
        <v xml:space="preserve"> </v>
      </c>
      <c r="S201" s="1939" t="str">
        <f t="shared" si="132"/>
        <v xml:space="preserve"> </v>
      </c>
      <c r="T201" s="1937" t="str">
        <f t="shared" si="133"/>
        <v xml:space="preserve"> </v>
      </c>
      <c r="U201" s="1937" t="str">
        <f t="shared" si="212"/>
        <v xml:space="preserve"> </v>
      </c>
      <c r="V201" s="727"/>
    </row>
    <row r="202" spans="1:22" s="728" customFormat="1">
      <c r="A202" s="3159" t="s">
        <v>2454</v>
      </c>
      <c r="B202" s="3044"/>
      <c r="C202" s="3045"/>
      <c r="D202" s="3045"/>
      <c r="E202" s="3045"/>
      <c r="F202" s="3046"/>
      <c r="G202" s="3059">
        <f>'ANGAJ BUGETAR'!E179</f>
        <v>0</v>
      </c>
      <c r="H202" s="3058">
        <f t="shared" si="217"/>
        <v>0</v>
      </c>
      <c r="I202" s="3058">
        <f>'ANGAJAM LEGAL '!D179</f>
        <v>0</v>
      </c>
      <c r="J202" s="3058">
        <f>'ANGAJAM LEGAL '!G179</f>
        <v>0</v>
      </c>
      <c r="K202" s="3059">
        <f>PLATI!E179</f>
        <v>0</v>
      </c>
      <c r="L202" s="3058">
        <f t="shared" si="218"/>
        <v>0</v>
      </c>
      <c r="M202" s="3047"/>
      <c r="N202" s="1675"/>
      <c r="O202" s="1937"/>
      <c r="P202" s="1937"/>
      <c r="Q202" s="723"/>
      <c r="R202" s="1939"/>
      <c r="S202" s="1939"/>
      <c r="T202" s="1937"/>
      <c r="U202" s="1937"/>
      <c r="V202" s="727"/>
    </row>
    <row r="203" spans="1:22" s="728" customFormat="1" ht="102">
      <c r="A203" s="3159" t="s">
        <v>2452</v>
      </c>
      <c r="B203" s="3044"/>
      <c r="C203" s="3045"/>
      <c r="D203" s="3045"/>
      <c r="E203" s="3045"/>
      <c r="F203" s="3046"/>
      <c r="G203" s="3059">
        <f>'ANGAJ BUGETAR'!E180</f>
        <v>0</v>
      </c>
      <c r="H203" s="3058">
        <f t="shared" si="217"/>
        <v>0</v>
      </c>
      <c r="I203" s="3058">
        <f>'ANGAJAM LEGAL '!D180</f>
        <v>0</v>
      </c>
      <c r="J203" s="3058">
        <f>'ANGAJAM LEGAL '!G180</f>
        <v>0</v>
      </c>
      <c r="K203" s="3059">
        <f>PLATI!E180</f>
        <v>0</v>
      </c>
      <c r="L203" s="3058">
        <f t="shared" si="218"/>
        <v>0</v>
      </c>
      <c r="M203" s="3047"/>
      <c r="N203" s="1675"/>
      <c r="O203" s="1937"/>
      <c r="P203" s="1937"/>
      <c r="Q203" s="723"/>
      <c r="R203" s="1939"/>
      <c r="S203" s="1939"/>
      <c r="T203" s="1937"/>
      <c r="U203" s="1937"/>
      <c r="V203" s="727"/>
    </row>
    <row r="204" spans="1:22" s="728" customFormat="1" ht="25.5">
      <c r="A204" s="3159" t="s">
        <v>1553</v>
      </c>
      <c r="B204" s="3044"/>
      <c r="C204" s="3045"/>
      <c r="D204" s="3045"/>
      <c r="E204" s="3045"/>
      <c r="F204" s="3046"/>
      <c r="G204" s="3059">
        <f>'ANGAJ BUGETAR'!E181</f>
        <v>0</v>
      </c>
      <c r="H204" s="3058">
        <f t="shared" ref="H204:H210" si="222">I204+J204</f>
        <v>0</v>
      </c>
      <c r="I204" s="3058">
        <f>'ANGAJAM LEGAL '!D181</f>
        <v>0</v>
      </c>
      <c r="J204" s="3058">
        <f>'ANGAJAM LEGAL '!G181</f>
        <v>0</v>
      </c>
      <c r="K204" s="3059">
        <f>PLATI!E181</f>
        <v>0</v>
      </c>
      <c r="L204" s="3058">
        <f t="shared" ref="L204:L210" si="223">ROUND(H204-K204,1)</f>
        <v>0</v>
      </c>
      <c r="M204" s="3047"/>
      <c r="N204" s="1675"/>
      <c r="O204" s="1937" t="str">
        <f t="shared" ref="O204:O270" si="224">IF(F204&lt;K204," EROARE"," ")</f>
        <v xml:space="preserve"> </v>
      </c>
      <c r="P204" s="1937" t="str">
        <f t="shared" si="219"/>
        <v xml:space="preserve"> </v>
      </c>
      <c r="Q204" s="723"/>
      <c r="R204" s="1939" t="str">
        <f t="shared" si="220"/>
        <v xml:space="preserve"> </v>
      </c>
      <c r="S204" s="1939" t="str">
        <f t="shared" ref="S204:S270" si="225">IF(G204&lt;K204," EROARE"," ")</f>
        <v xml:space="preserve"> </v>
      </c>
      <c r="T204" s="1937" t="str">
        <f t="shared" ref="T204:T270" si="226">IF(H204&lt;K204," EROARE"," ")</f>
        <v xml:space="preserve"> </v>
      </c>
      <c r="U204" s="1937" t="str">
        <f t="shared" si="212"/>
        <v xml:space="preserve"> </v>
      </c>
      <c r="V204" s="727"/>
    </row>
    <row r="205" spans="1:22" s="728" customFormat="1" ht="25.5">
      <c r="A205" s="3159" t="s">
        <v>1554</v>
      </c>
      <c r="B205" s="3044"/>
      <c r="C205" s="3045"/>
      <c r="D205" s="3045"/>
      <c r="E205" s="3045"/>
      <c r="F205" s="3046"/>
      <c r="G205" s="3059">
        <f>'ANGAJ BUGETAR'!E182</f>
        <v>0</v>
      </c>
      <c r="H205" s="3058">
        <f t="shared" si="222"/>
        <v>0</v>
      </c>
      <c r="I205" s="3058">
        <f>'ANGAJAM LEGAL '!D182</f>
        <v>0</v>
      </c>
      <c r="J205" s="3058">
        <f>'ANGAJAM LEGAL '!G182</f>
        <v>0</v>
      </c>
      <c r="K205" s="3059">
        <f>PLATI!E182</f>
        <v>0</v>
      </c>
      <c r="L205" s="3058">
        <f t="shared" si="223"/>
        <v>0</v>
      </c>
      <c r="M205" s="3047"/>
      <c r="N205" s="1675"/>
      <c r="O205" s="1937" t="str">
        <f t="shared" si="224"/>
        <v xml:space="preserve"> </v>
      </c>
      <c r="P205" s="1937" t="str">
        <f t="shared" si="219"/>
        <v xml:space="preserve"> </v>
      </c>
      <c r="Q205" s="723"/>
      <c r="R205" s="1939" t="str">
        <f t="shared" si="220"/>
        <v xml:space="preserve"> </v>
      </c>
      <c r="S205" s="1939" t="str">
        <f t="shared" si="225"/>
        <v xml:space="preserve"> </v>
      </c>
      <c r="T205" s="1937" t="str">
        <f t="shared" si="226"/>
        <v xml:space="preserve"> </v>
      </c>
      <c r="U205" s="1937" t="str">
        <f t="shared" si="212"/>
        <v xml:space="preserve"> </v>
      </c>
      <c r="V205" s="727"/>
    </row>
    <row r="206" spans="1:22" s="728" customFormat="1" ht="25.5">
      <c r="A206" s="3159" t="s">
        <v>1555</v>
      </c>
      <c r="B206" s="3044"/>
      <c r="C206" s="3058">
        <f t="shared" ref="C206:D206" si="227">C207+C208</f>
        <v>0</v>
      </c>
      <c r="D206" s="3058">
        <f t="shared" si="227"/>
        <v>0</v>
      </c>
      <c r="E206" s="3058">
        <f>E207+E208</f>
        <v>0</v>
      </c>
      <c r="F206" s="3059">
        <f t="shared" ref="F206:M206" si="228">F207+F208</f>
        <v>0</v>
      </c>
      <c r="G206" s="3059">
        <f t="shared" si="228"/>
        <v>0</v>
      </c>
      <c r="H206" s="3058">
        <f t="shared" si="228"/>
        <v>0</v>
      </c>
      <c r="I206" s="3058">
        <f t="shared" si="228"/>
        <v>0</v>
      </c>
      <c r="J206" s="3058">
        <f t="shared" si="228"/>
        <v>0</v>
      </c>
      <c r="K206" s="3059">
        <f t="shared" si="228"/>
        <v>0</v>
      </c>
      <c r="L206" s="3058">
        <f t="shared" si="228"/>
        <v>0</v>
      </c>
      <c r="M206" s="3126">
        <f t="shared" si="228"/>
        <v>0</v>
      </c>
      <c r="N206" s="1675"/>
      <c r="O206" s="1937" t="str">
        <f t="shared" si="224"/>
        <v xml:space="preserve"> </v>
      </c>
      <c r="P206" s="1937" t="str">
        <f t="shared" si="219"/>
        <v xml:space="preserve"> </v>
      </c>
      <c r="Q206" s="723"/>
      <c r="R206" s="1939" t="str">
        <f t="shared" si="220"/>
        <v xml:space="preserve"> </v>
      </c>
      <c r="S206" s="1939" t="str">
        <f t="shared" si="225"/>
        <v xml:space="preserve"> </v>
      </c>
      <c r="T206" s="1937" t="str">
        <f t="shared" si="226"/>
        <v xml:space="preserve"> </v>
      </c>
      <c r="U206" s="1937" t="str">
        <f t="shared" si="212"/>
        <v xml:space="preserve"> </v>
      </c>
      <c r="V206" s="727"/>
    </row>
    <row r="207" spans="1:22" s="728" customFormat="1">
      <c r="A207" s="3159" t="s">
        <v>2454</v>
      </c>
      <c r="B207" s="3044"/>
      <c r="C207" s="3045"/>
      <c r="D207" s="3045"/>
      <c r="E207" s="3045"/>
      <c r="F207" s="3046"/>
      <c r="G207" s="3059">
        <f>'ANGAJ BUGETAR'!E184</f>
        <v>0</v>
      </c>
      <c r="H207" s="3058">
        <f t="shared" ref="H207" si="229">I207+J207</f>
        <v>0</v>
      </c>
      <c r="I207" s="3058">
        <f>'ANGAJAM LEGAL '!D184</f>
        <v>0</v>
      </c>
      <c r="J207" s="3058">
        <f>'ANGAJAM LEGAL '!G184</f>
        <v>0</v>
      </c>
      <c r="K207" s="3059">
        <f>PLATI!E184</f>
        <v>0</v>
      </c>
      <c r="L207" s="3058">
        <f t="shared" ref="L207" si="230">ROUND(H207-K207,1)</f>
        <v>0</v>
      </c>
      <c r="M207" s="3047"/>
      <c r="N207" s="1675"/>
      <c r="O207" s="1937" t="str">
        <f t="shared" si="224"/>
        <v xml:space="preserve"> </v>
      </c>
      <c r="P207" s="1937" t="str">
        <f t="shared" si="219"/>
        <v xml:space="preserve"> </v>
      </c>
      <c r="Q207" s="723"/>
      <c r="R207" s="1939" t="str">
        <f t="shared" si="220"/>
        <v xml:space="preserve"> </v>
      </c>
      <c r="S207" s="1939" t="str">
        <f t="shared" si="225"/>
        <v xml:space="preserve"> </v>
      </c>
      <c r="T207" s="1937" t="str">
        <f t="shared" si="226"/>
        <v xml:space="preserve"> </v>
      </c>
      <c r="U207" s="1937" t="str">
        <f t="shared" si="212"/>
        <v xml:space="preserve"> </v>
      </c>
      <c r="V207" s="727"/>
    </row>
    <row r="208" spans="1:22" s="728" customFormat="1" ht="102">
      <c r="A208" s="3159" t="s">
        <v>2452</v>
      </c>
      <c r="B208" s="3044"/>
      <c r="C208" s="3045"/>
      <c r="D208" s="3045"/>
      <c r="E208" s="3045"/>
      <c r="F208" s="3046"/>
      <c r="G208" s="3059">
        <f>'ANGAJ BUGETAR'!E185</f>
        <v>0</v>
      </c>
      <c r="H208" s="3058">
        <f t="shared" ref="H208" si="231">I208+J208</f>
        <v>0</v>
      </c>
      <c r="I208" s="3058">
        <f>'ANGAJAM LEGAL '!D185</f>
        <v>0</v>
      </c>
      <c r="J208" s="3058">
        <f>'ANGAJAM LEGAL '!G185</f>
        <v>0</v>
      </c>
      <c r="K208" s="3059">
        <f>PLATI!E185</f>
        <v>0</v>
      </c>
      <c r="L208" s="3058">
        <f t="shared" ref="L208" si="232">ROUND(H208-K208,1)</f>
        <v>0</v>
      </c>
      <c r="M208" s="3047"/>
      <c r="N208" s="1675"/>
      <c r="O208" s="1937" t="str">
        <f t="shared" si="224"/>
        <v xml:space="preserve"> </v>
      </c>
      <c r="P208" s="1937" t="str">
        <f t="shared" si="219"/>
        <v xml:space="preserve"> </v>
      </c>
      <c r="Q208" s="723"/>
      <c r="R208" s="1939" t="str">
        <f t="shared" si="220"/>
        <v xml:space="preserve"> </v>
      </c>
      <c r="S208" s="1939" t="str">
        <f t="shared" si="225"/>
        <v xml:space="preserve"> </v>
      </c>
      <c r="T208" s="1937" t="str">
        <f t="shared" si="226"/>
        <v xml:space="preserve"> </v>
      </c>
      <c r="U208" s="1937" t="str">
        <f t="shared" si="212"/>
        <v xml:space="preserve"> </v>
      </c>
      <c r="V208" s="727"/>
    </row>
    <row r="209" spans="1:22" s="728" customFormat="1" ht="63.75">
      <c r="A209" s="3159" t="s">
        <v>2568</v>
      </c>
      <c r="B209" s="3044"/>
      <c r="C209" s="3045"/>
      <c r="D209" s="3045"/>
      <c r="E209" s="3045"/>
      <c r="F209" s="3046"/>
      <c r="G209" s="3059">
        <f>'ANGAJ BUGETAR'!E186</f>
        <v>0</v>
      </c>
      <c r="H209" s="3058">
        <f t="shared" si="222"/>
        <v>0</v>
      </c>
      <c r="I209" s="3058">
        <f>'ANGAJAM LEGAL '!D186</f>
        <v>0</v>
      </c>
      <c r="J209" s="3058">
        <f>'ANGAJAM LEGAL '!G186</f>
        <v>0</v>
      </c>
      <c r="K209" s="3059">
        <f>PLATI!E186</f>
        <v>0</v>
      </c>
      <c r="L209" s="3058">
        <f t="shared" si="223"/>
        <v>0</v>
      </c>
      <c r="M209" s="3047"/>
      <c r="N209" s="1675"/>
      <c r="O209" s="1937" t="str">
        <f t="shared" si="224"/>
        <v xml:space="preserve"> </v>
      </c>
      <c r="P209" s="1937" t="str">
        <f t="shared" si="219"/>
        <v xml:space="preserve"> </v>
      </c>
      <c r="Q209" s="723"/>
      <c r="R209" s="1939" t="str">
        <f t="shared" si="220"/>
        <v xml:space="preserve"> </v>
      </c>
      <c r="S209" s="1939" t="str">
        <f t="shared" si="225"/>
        <v xml:space="preserve"> </v>
      </c>
      <c r="T209" s="1937" t="str">
        <f t="shared" si="226"/>
        <v xml:space="preserve"> </v>
      </c>
      <c r="U209" s="1937" t="str">
        <f t="shared" si="212"/>
        <v xml:space="preserve"> </v>
      </c>
      <c r="V209" s="727"/>
    </row>
    <row r="210" spans="1:22" s="728" customFormat="1" ht="38.25">
      <c r="A210" s="3159" t="s">
        <v>1557</v>
      </c>
      <c r="B210" s="3044"/>
      <c r="C210" s="3045"/>
      <c r="D210" s="3045"/>
      <c r="E210" s="3045"/>
      <c r="F210" s="3046"/>
      <c r="G210" s="3059">
        <f>'ANGAJ BUGETAR'!E187</f>
        <v>0</v>
      </c>
      <c r="H210" s="3058">
        <f t="shared" si="222"/>
        <v>0</v>
      </c>
      <c r="I210" s="3058">
        <f>'ANGAJAM LEGAL '!D187</f>
        <v>0</v>
      </c>
      <c r="J210" s="3058">
        <f>'ANGAJAM LEGAL '!G187</f>
        <v>0</v>
      </c>
      <c r="K210" s="3059">
        <f>PLATI!E187</f>
        <v>0</v>
      </c>
      <c r="L210" s="3058">
        <f t="shared" si="223"/>
        <v>0</v>
      </c>
      <c r="M210" s="3047"/>
      <c r="N210" s="1675"/>
      <c r="O210" s="1937" t="str">
        <f t="shared" si="224"/>
        <v xml:space="preserve"> </v>
      </c>
      <c r="P210" s="1937" t="str">
        <f t="shared" si="219"/>
        <v xml:space="preserve"> </v>
      </c>
      <c r="Q210" s="723"/>
      <c r="R210" s="1939" t="str">
        <f t="shared" si="220"/>
        <v xml:space="preserve"> </v>
      </c>
      <c r="S210" s="1939" t="str">
        <f t="shared" si="225"/>
        <v xml:space="preserve"> </v>
      </c>
      <c r="T210" s="1937" t="str">
        <f t="shared" si="226"/>
        <v xml:space="preserve"> </v>
      </c>
      <c r="U210" s="1937" t="str">
        <f t="shared" si="212"/>
        <v xml:space="preserve"> </v>
      </c>
      <c r="V210" s="727"/>
    </row>
    <row r="211" spans="1:22" s="728" customFormat="1" ht="51">
      <c r="A211" s="3174" t="s">
        <v>1558</v>
      </c>
      <c r="B211" s="3052"/>
      <c r="C211" s="3113">
        <f>C212+C215+C216+C219</f>
        <v>0</v>
      </c>
      <c r="D211" s="3113">
        <f t="shared" ref="D211:F211" si="233">D212+D215+D216+D219</f>
        <v>0</v>
      </c>
      <c r="E211" s="3113">
        <f t="shared" si="233"/>
        <v>0</v>
      </c>
      <c r="F211" s="3113">
        <f t="shared" si="233"/>
        <v>0</v>
      </c>
      <c r="G211" s="3113">
        <f t="shared" ref="G211:L211" si="234">ROUND(+G212+G215+G216+G219,1)</f>
        <v>0</v>
      </c>
      <c r="H211" s="3113">
        <f t="shared" si="234"/>
        <v>0</v>
      </c>
      <c r="I211" s="3113">
        <f t="shared" si="234"/>
        <v>0</v>
      </c>
      <c r="J211" s="3113">
        <f t="shared" si="234"/>
        <v>0</v>
      </c>
      <c r="K211" s="3113">
        <f t="shared" si="234"/>
        <v>0</v>
      </c>
      <c r="L211" s="3113">
        <f t="shared" si="234"/>
        <v>0</v>
      </c>
      <c r="M211" s="3114">
        <f>ROUND(+M212+M215+M216+M219,1)</f>
        <v>0</v>
      </c>
      <c r="N211" s="1949"/>
      <c r="O211" s="1937" t="str">
        <f t="shared" si="224"/>
        <v xml:space="preserve"> </v>
      </c>
      <c r="P211" s="1937" t="str">
        <f t="shared" si="219"/>
        <v xml:space="preserve"> </v>
      </c>
      <c r="Q211" s="723"/>
      <c r="R211" s="1939" t="str">
        <f t="shared" si="220"/>
        <v xml:space="preserve"> </v>
      </c>
      <c r="S211" s="1939" t="str">
        <f t="shared" si="225"/>
        <v xml:space="preserve"> </v>
      </c>
      <c r="T211" s="1937" t="str">
        <f t="shared" si="226"/>
        <v xml:space="preserve"> </v>
      </c>
      <c r="U211" s="1937" t="str">
        <f t="shared" si="212"/>
        <v xml:space="preserve"> </v>
      </c>
      <c r="V211" s="727"/>
    </row>
    <row r="212" spans="1:22" s="728" customFormat="1" ht="32.450000000000003" customHeight="1">
      <c r="A212" s="3159" t="s">
        <v>1264</v>
      </c>
      <c r="B212" s="3044"/>
      <c r="C212" s="3058">
        <f t="shared" ref="C212:D212" si="235">C213+C214</f>
        <v>0</v>
      </c>
      <c r="D212" s="3058">
        <f t="shared" si="235"/>
        <v>0</v>
      </c>
      <c r="E212" s="3058">
        <f>E213+E214</f>
        <v>0</v>
      </c>
      <c r="F212" s="3059">
        <f t="shared" ref="F212:M212" si="236">F213+F214</f>
        <v>0</v>
      </c>
      <c r="G212" s="3059">
        <f t="shared" si="236"/>
        <v>0</v>
      </c>
      <c r="H212" s="3058">
        <f t="shared" si="236"/>
        <v>0</v>
      </c>
      <c r="I212" s="3058">
        <f t="shared" si="236"/>
        <v>0</v>
      </c>
      <c r="J212" s="3058">
        <f t="shared" si="236"/>
        <v>0</v>
      </c>
      <c r="K212" s="3059">
        <f t="shared" si="236"/>
        <v>0</v>
      </c>
      <c r="L212" s="3058">
        <f t="shared" si="236"/>
        <v>0</v>
      </c>
      <c r="M212" s="3126">
        <f t="shared" si="236"/>
        <v>0</v>
      </c>
      <c r="N212" s="1675"/>
      <c r="O212" s="1937" t="str">
        <f t="shared" si="224"/>
        <v xml:space="preserve"> </v>
      </c>
      <c r="P212" s="1937" t="str">
        <f t="shared" si="219"/>
        <v xml:space="preserve"> </v>
      </c>
      <c r="Q212" s="723"/>
      <c r="R212" s="1939" t="str">
        <f t="shared" si="220"/>
        <v xml:space="preserve"> </v>
      </c>
      <c r="S212" s="1939" t="str">
        <f t="shared" si="225"/>
        <v xml:space="preserve"> </v>
      </c>
      <c r="T212" s="1937" t="str">
        <f t="shared" si="226"/>
        <v xml:space="preserve"> </v>
      </c>
      <c r="U212" s="1937" t="str">
        <f t="shared" si="212"/>
        <v xml:space="preserve"> </v>
      </c>
      <c r="V212" s="727"/>
    </row>
    <row r="213" spans="1:22" s="728" customFormat="1" ht="37.9" customHeight="1">
      <c r="A213" s="3209" t="s">
        <v>2454</v>
      </c>
      <c r="B213" s="3187"/>
      <c r="C213" s="3197"/>
      <c r="D213" s="3197"/>
      <c r="E213" s="3197"/>
      <c r="F213" s="3198"/>
      <c r="G213" s="3199">
        <f>'ANGAJ BUGETAR'!E190</f>
        <v>0</v>
      </c>
      <c r="H213" s="3188">
        <f t="shared" ref="H213" si="237">I213+J213</f>
        <v>0</v>
      </c>
      <c r="I213" s="3188">
        <f>'ANGAJAM LEGAL '!D190</f>
        <v>0</v>
      </c>
      <c r="J213" s="3188">
        <f>'ANGAJAM LEGAL '!G190</f>
        <v>0</v>
      </c>
      <c r="K213" s="3199">
        <f>PLATI!E190</f>
        <v>0</v>
      </c>
      <c r="L213" s="3188">
        <f t="shared" ref="L213" si="238">ROUND(H213-K213,1)</f>
        <v>0</v>
      </c>
      <c r="M213" s="3200"/>
      <c r="N213" s="1675"/>
      <c r="O213" s="1937" t="str">
        <f t="shared" si="224"/>
        <v xml:space="preserve"> </v>
      </c>
      <c r="P213" s="1937" t="str">
        <f t="shared" si="219"/>
        <v xml:space="preserve"> </v>
      </c>
      <c r="Q213" s="723"/>
      <c r="R213" s="1939" t="str">
        <f t="shared" si="220"/>
        <v xml:space="preserve"> </v>
      </c>
      <c r="S213" s="1939" t="str">
        <f t="shared" si="225"/>
        <v xml:space="preserve"> </v>
      </c>
      <c r="T213" s="1937" t="str">
        <f t="shared" si="226"/>
        <v xml:space="preserve"> </v>
      </c>
      <c r="U213" s="1937" t="str">
        <f t="shared" si="212"/>
        <v xml:space="preserve"> </v>
      </c>
      <c r="V213" s="727"/>
    </row>
    <row r="214" spans="1:22" s="728" customFormat="1" ht="135.6" customHeight="1">
      <c r="A214" s="3897" t="s">
        <v>2452</v>
      </c>
      <c r="B214" s="2719"/>
      <c r="C214" s="2720"/>
      <c r="D214" s="2720"/>
      <c r="E214" s="2720"/>
      <c r="F214" s="2721"/>
      <c r="G214" s="2722">
        <f>'ANGAJ BUGETAR'!E191</f>
        <v>0</v>
      </c>
      <c r="H214" s="2723">
        <f t="shared" ref="H214" si="239">I214+J214</f>
        <v>0</v>
      </c>
      <c r="I214" s="2723">
        <f>'ANGAJAM LEGAL '!D191</f>
        <v>0</v>
      </c>
      <c r="J214" s="2723">
        <f>'ANGAJAM LEGAL '!G191</f>
        <v>0</v>
      </c>
      <c r="K214" s="2722">
        <f>PLATI!E191</f>
        <v>0</v>
      </c>
      <c r="L214" s="2723">
        <f t="shared" ref="L214" si="240">ROUND(H214-K214,1)</f>
        <v>0</v>
      </c>
      <c r="M214" s="2724"/>
      <c r="N214" s="1675"/>
      <c r="O214" s="1937" t="str">
        <f t="shared" si="224"/>
        <v xml:space="preserve"> </v>
      </c>
      <c r="P214" s="1937" t="str">
        <f t="shared" si="219"/>
        <v xml:space="preserve"> </v>
      </c>
      <c r="Q214" s="723"/>
      <c r="R214" s="1939" t="str">
        <f t="shared" si="220"/>
        <v xml:space="preserve"> </v>
      </c>
      <c r="S214" s="1939" t="str">
        <f t="shared" si="225"/>
        <v xml:space="preserve"> </v>
      </c>
      <c r="T214" s="1937" t="str">
        <f t="shared" si="226"/>
        <v xml:space="preserve"> </v>
      </c>
      <c r="U214" s="1937" t="str">
        <f t="shared" si="212"/>
        <v xml:space="preserve"> </v>
      </c>
      <c r="V214" s="727"/>
    </row>
    <row r="215" spans="1:22" s="728" customFormat="1" ht="38.25">
      <c r="A215" s="3159" t="s">
        <v>1559</v>
      </c>
      <c r="B215" s="3044"/>
      <c r="C215" s="3045"/>
      <c r="D215" s="3045"/>
      <c r="E215" s="3045"/>
      <c r="F215" s="3046"/>
      <c r="G215" s="3059">
        <f>'ANGAJ BUGETAR'!E192</f>
        <v>0</v>
      </c>
      <c r="H215" s="3058">
        <f t="shared" ref="H215:H219" si="241">I215+J215</f>
        <v>0</v>
      </c>
      <c r="I215" s="3058">
        <f>'ANGAJAM LEGAL '!D192</f>
        <v>0</v>
      </c>
      <c r="J215" s="3058">
        <f>'ANGAJAM LEGAL '!G192</f>
        <v>0</v>
      </c>
      <c r="K215" s="3059">
        <f>PLATI!E192</f>
        <v>0</v>
      </c>
      <c r="L215" s="3058">
        <f t="shared" ref="L215:L219" si="242">ROUND(H215-K215,1)</f>
        <v>0</v>
      </c>
      <c r="M215" s="3047"/>
      <c r="N215" s="1675"/>
      <c r="O215" s="1937" t="str">
        <f t="shared" si="224"/>
        <v xml:space="preserve"> </v>
      </c>
      <c r="P215" s="1937" t="str">
        <f t="shared" si="219"/>
        <v xml:space="preserve"> </v>
      </c>
      <c r="Q215" s="723"/>
      <c r="R215" s="1939" t="str">
        <f t="shared" si="220"/>
        <v xml:space="preserve"> </v>
      </c>
      <c r="S215" s="1939" t="str">
        <f t="shared" si="225"/>
        <v xml:space="preserve"> </v>
      </c>
      <c r="T215" s="1937" t="str">
        <f t="shared" si="226"/>
        <v xml:space="preserve"> </v>
      </c>
      <c r="U215" s="1937" t="str">
        <f t="shared" si="212"/>
        <v xml:space="preserve"> </v>
      </c>
      <c r="V215" s="727"/>
    </row>
    <row r="216" spans="1:22" s="728" customFormat="1" ht="38.25">
      <c r="A216" s="3159" t="s">
        <v>1266</v>
      </c>
      <c r="B216" s="3044"/>
      <c r="C216" s="3058">
        <f t="shared" ref="C216:D216" si="243">C217+C218</f>
        <v>0</v>
      </c>
      <c r="D216" s="3058">
        <f t="shared" si="243"/>
        <v>0</v>
      </c>
      <c r="E216" s="3058">
        <f>E217+E218</f>
        <v>0</v>
      </c>
      <c r="F216" s="3059">
        <f t="shared" ref="F216:M216" si="244">F217+F218</f>
        <v>0</v>
      </c>
      <c r="G216" s="3059">
        <f t="shared" si="244"/>
        <v>0</v>
      </c>
      <c r="H216" s="3058">
        <f t="shared" si="244"/>
        <v>0</v>
      </c>
      <c r="I216" s="3058">
        <f t="shared" si="244"/>
        <v>0</v>
      </c>
      <c r="J216" s="3058">
        <f t="shared" si="244"/>
        <v>0</v>
      </c>
      <c r="K216" s="3059">
        <f t="shared" si="244"/>
        <v>0</v>
      </c>
      <c r="L216" s="3058">
        <f t="shared" si="244"/>
        <v>0</v>
      </c>
      <c r="M216" s="3126">
        <f t="shared" si="244"/>
        <v>0</v>
      </c>
      <c r="N216" s="1675"/>
      <c r="O216" s="1937" t="str">
        <f t="shared" si="224"/>
        <v xml:space="preserve"> </v>
      </c>
      <c r="P216" s="1937" t="str">
        <f t="shared" si="219"/>
        <v xml:space="preserve"> </v>
      </c>
      <c r="Q216" s="723"/>
      <c r="R216" s="1939" t="str">
        <f t="shared" si="220"/>
        <v xml:space="preserve"> </v>
      </c>
      <c r="S216" s="1939" t="str">
        <f t="shared" si="225"/>
        <v xml:space="preserve"> </v>
      </c>
      <c r="T216" s="1937" t="str">
        <f t="shared" si="226"/>
        <v xml:space="preserve"> </v>
      </c>
      <c r="U216" s="1937" t="str">
        <f t="shared" si="212"/>
        <v xml:space="preserve"> </v>
      </c>
      <c r="V216" s="727"/>
    </row>
    <row r="217" spans="1:22" s="728" customFormat="1" ht="18" customHeight="1">
      <c r="A217" s="3159" t="s">
        <v>2454</v>
      </c>
      <c r="B217" s="3044"/>
      <c r="C217" s="3045"/>
      <c r="D217" s="3045"/>
      <c r="E217" s="3045"/>
      <c r="F217" s="3046"/>
      <c r="G217" s="3059">
        <f>'ANGAJ BUGETAR'!E194</f>
        <v>0</v>
      </c>
      <c r="H217" s="3058">
        <f t="shared" ref="H217:H218" si="245">I217+J217</f>
        <v>0</v>
      </c>
      <c r="I217" s="3058">
        <f>'ANGAJAM LEGAL '!D194</f>
        <v>0</v>
      </c>
      <c r="J217" s="3058">
        <f>'ANGAJAM LEGAL '!G194</f>
        <v>0</v>
      </c>
      <c r="K217" s="3059">
        <f>PLATI!E194</f>
        <v>0</v>
      </c>
      <c r="L217" s="3058">
        <f t="shared" ref="L217:L218" si="246">ROUND(H217-K217,1)</f>
        <v>0</v>
      </c>
      <c r="M217" s="3047"/>
      <c r="N217" s="1675"/>
      <c r="O217" s="1937" t="str">
        <f t="shared" si="224"/>
        <v xml:space="preserve"> </v>
      </c>
      <c r="P217" s="1937" t="str">
        <f t="shared" si="219"/>
        <v xml:space="preserve"> </v>
      </c>
      <c r="Q217" s="723"/>
      <c r="R217" s="1939" t="str">
        <f t="shared" si="220"/>
        <v xml:space="preserve"> </v>
      </c>
      <c r="S217" s="1939" t="str">
        <f t="shared" si="225"/>
        <v xml:space="preserve"> </v>
      </c>
      <c r="T217" s="1937" t="str">
        <f t="shared" si="226"/>
        <v xml:space="preserve"> </v>
      </c>
      <c r="U217" s="1937" t="str">
        <f t="shared" si="212"/>
        <v xml:space="preserve"> </v>
      </c>
      <c r="V217" s="727"/>
    </row>
    <row r="218" spans="1:22" s="728" customFormat="1" ht="102">
      <c r="A218" s="3159" t="s">
        <v>2452</v>
      </c>
      <c r="B218" s="3044"/>
      <c r="C218" s="3045"/>
      <c r="D218" s="3045"/>
      <c r="E218" s="3045"/>
      <c r="F218" s="3046"/>
      <c r="G218" s="3059">
        <f>'ANGAJ BUGETAR'!E195</f>
        <v>0</v>
      </c>
      <c r="H218" s="3058">
        <f t="shared" si="245"/>
        <v>0</v>
      </c>
      <c r="I218" s="3058">
        <f>'ANGAJAM LEGAL '!D195</f>
        <v>0</v>
      </c>
      <c r="J218" s="3058">
        <f>'ANGAJAM LEGAL '!G195</f>
        <v>0</v>
      </c>
      <c r="K218" s="3059">
        <f>PLATI!E195</f>
        <v>0</v>
      </c>
      <c r="L218" s="3058">
        <f t="shared" si="246"/>
        <v>0</v>
      </c>
      <c r="M218" s="3047"/>
      <c r="N218" s="1675"/>
      <c r="O218" s="1937" t="str">
        <f t="shared" si="224"/>
        <v xml:space="preserve"> </v>
      </c>
      <c r="P218" s="1937" t="str">
        <f t="shared" si="219"/>
        <v xml:space="preserve"> </v>
      </c>
      <c r="Q218" s="723"/>
      <c r="R218" s="1939" t="str">
        <f t="shared" si="220"/>
        <v xml:space="preserve"> </v>
      </c>
      <c r="S218" s="1939" t="str">
        <f t="shared" si="225"/>
        <v xml:space="preserve"> </v>
      </c>
      <c r="T218" s="1937" t="str">
        <f t="shared" si="226"/>
        <v xml:space="preserve"> </v>
      </c>
      <c r="U218" s="1937" t="str">
        <f t="shared" si="212"/>
        <v xml:space="preserve"> </v>
      </c>
      <c r="V218" s="727"/>
    </row>
    <row r="219" spans="1:22" s="728" customFormat="1" ht="38.25">
      <c r="A219" s="3159" t="s">
        <v>1267</v>
      </c>
      <c r="B219" s="3044"/>
      <c r="C219" s="3045"/>
      <c r="D219" s="3045"/>
      <c r="E219" s="3045"/>
      <c r="F219" s="3046"/>
      <c r="G219" s="3059">
        <f>'ANGAJ BUGETAR'!E196</f>
        <v>0</v>
      </c>
      <c r="H219" s="3058">
        <f t="shared" si="241"/>
        <v>0</v>
      </c>
      <c r="I219" s="3058">
        <f>'ANGAJAM LEGAL '!D196</f>
        <v>0</v>
      </c>
      <c r="J219" s="3058">
        <f>'ANGAJAM LEGAL '!G196</f>
        <v>0</v>
      </c>
      <c r="K219" s="3059">
        <f>PLATI!E196</f>
        <v>0</v>
      </c>
      <c r="L219" s="3058">
        <f t="shared" si="242"/>
        <v>0</v>
      </c>
      <c r="M219" s="3047"/>
      <c r="N219" s="1675"/>
      <c r="O219" s="1937" t="str">
        <f t="shared" si="224"/>
        <v xml:space="preserve"> </v>
      </c>
      <c r="P219" s="1937" t="str">
        <f t="shared" si="219"/>
        <v xml:space="preserve"> </v>
      </c>
      <c r="Q219" s="723"/>
      <c r="R219" s="1939" t="str">
        <f t="shared" si="220"/>
        <v xml:space="preserve"> </v>
      </c>
      <c r="S219" s="1939" t="str">
        <f t="shared" si="225"/>
        <v xml:space="preserve"> </v>
      </c>
      <c r="T219" s="1937" t="str">
        <f t="shared" si="226"/>
        <v xml:space="preserve"> </v>
      </c>
      <c r="U219" s="1937" t="str">
        <f t="shared" si="212"/>
        <v xml:space="preserve"> </v>
      </c>
      <c r="V219" s="727"/>
    </row>
    <row r="220" spans="1:22" s="728" customFormat="1" ht="25.5">
      <c r="A220" s="3146" t="s">
        <v>834</v>
      </c>
      <c r="B220" s="3052" t="s">
        <v>835</v>
      </c>
      <c r="C220" s="3060">
        <f t="shared" ref="C220:D220" si="247">C221+C222</f>
        <v>14789860</v>
      </c>
      <c r="D220" s="3060">
        <f t="shared" si="247"/>
        <v>11000000</v>
      </c>
      <c r="E220" s="3060">
        <f>E221+E222</f>
        <v>14805730</v>
      </c>
      <c r="F220" s="3067">
        <f t="shared" ref="F220:M220" si="248">F221+F222</f>
        <v>10721000</v>
      </c>
      <c r="G220" s="3067">
        <f>G221+G222</f>
        <v>14805730</v>
      </c>
      <c r="H220" s="3060">
        <f t="shared" si="248"/>
        <v>16708951</v>
      </c>
      <c r="I220" s="3060">
        <f t="shared" si="248"/>
        <v>1919091</v>
      </c>
      <c r="J220" s="3060">
        <f t="shared" si="248"/>
        <v>14789860</v>
      </c>
      <c r="K220" s="3067">
        <f t="shared" si="248"/>
        <v>10721000</v>
      </c>
      <c r="L220" s="3060">
        <f t="shared" si="248"/>
        <v>5987951</v>
      </c>
      <c r="M220" s="3068">
        <f t="shared" si="248"/>
        <v>9481618</v>
      </c>
      <c r="N220" s="1951"/>
      <c r="O220" s="1937" t="str">
        <f t="shared" si="224"/>
        <v xml:space="preserve"> </v>
      </c>
      <c r="P220" s="1937" t="str">
        <f t="shared" si="219"/>
        <v xml:space="preserve"> </v>
      </c>
      <c r="Q220" s="723"/>
      <c r="R220" s="1939" t="str">
        <f t="shared" si="220"/>
        <v xml:space="preserve"> </v>
      </c>
      <c r="S220" s="1939" t="str">
        <f t="shared" si="225"/>
        <v xml:space="preserve"> </v>
      </c>
      <c r="T220" s="1937" t="str">
        <f t="shared" si="226"/>
        <v xml:space="preserve"> </v>
      </c>
      <c r="U220" s="1937" t="str">
        <f t="shared" si="212"/>
        <v xml:space="preserve"> </v>
      </c>
      <c r="V220" s="727"/>
    </row>
    <row r="221" spans="1:22" s="728" customFormat="1" ht="18" customHeight="1">
      <c r="A221" s="3159" t="s">
        <v>2454</v>
      </c>
      <c r="B221" s="3052"/>
      <c r="C221" s="3053">
        <v>14789860</v>
      </c>
      <c r="D221" s="3053">
        <v>11000000</v>
      </c>
      <c r="E221" s="3053">
        <v>14805730</v>
      </c>
      <c r="F221" s="3054">
        <v>10721000</v>
      </c>
      <c r="G221" s="3175">
        <f>'ANGAJ BUGETAR'!E198</f>
        <v>14805730</v>
      </c>
      <c r="H221" s="3117">
        <f t="shared" ref="H221:H222" si="249">I221+J221</f>
        <v>16708951</v>
      </c>
      <c r="I221" s="3117">
        <f>'ANGAJAM LEGAL '!D198</f>
        <v>1919091</v>
      </c>
      <c r="J221" s="3117">
        <f>'ANGAJAM LEGAL '!G198</f>
        <v>14789860</v>
      </c>
      <c r="K221" s="3175">
        <f>PLATI!E198</f>
        <v>10721000</v>
      </c>
      <c r="L221" s="3117">
        <f t="shared" ref="L221:L222" si="250">ROUND(H221-K221,1)</f>
        <v>5987951</v>
      </c>
      <c r="M221" s="3055">
        <v>9481618</v>
      </c>
      <c r="N221" s="1951"/>
      <c r="O221" s="1937" t="str">
        <f t="shared" si="224"/>
        <v xml:space="preserve"> </v>
      </c>
      <c r="P221" s="1937" t="str">
        <f>IF(E221&lt;G221," EROARE"," ")</f>
        <v xml:space="preserve"> </v>
      </c>
      <c r="Q221" s="723"/>
      <c r="R221" s="1939" t="str">
        <f t="shared" si="220"/>
        <v xml:space="preserve"> </v>
      </c>
      <c r="S221" s="1939" t="str">
        <f>IF(G221&lt;K221," EROARE"," ")</f>
        <v xml:space="preserve"> </v>
      </c>
      <c r="T221" s="1937" t="str">
        <f t="shared" si="226"/>
        <v xml:space="preserve"> </v>
      </c>
      <c r="U221" s="1937" t="str">
        <f t="shared" si="212"/>
        <v xml:space="preserve"> </v>
      </c>
      <c r="V221" s="727"/>
    </row>
    <row r="222" spans="1:22" s="728" customFormat="1" ht="102">
      <c r="A222" s="3159" t="s">
        <v>2452</v>
      </c>
      <c r="B222" s="3052"/>
      <c r="C222" s="3053"/>
      <c r="D222" s="3053"/>
      <c r="E222" s="3053"/>
      <c r="F222" s="3054"/>
      <c r="G222" s="3175">
        <f>'ANGAJ BUGETAR'!E199</f>
        <v>0</v>
      </c>
      <c r="H222" s="3117">
        <f t="shared" si="249"/>
        <v>0</v>
      </c>
      <c r="I222" s="3117">
        <f>'ANGAJAM LEGAL '!D199</f>
        <v>0</v>
      </c>
      <c r="J222" s="3117">
        <f>'ANGAJAM LEGAL '!G199</f>
        <v>0</v>
      </c>
      <c r="K222" s="3175">
        <f>PLATI!E199</f>
        <v>0</v>
      </c>
      <c r="L222" s="3117">
        <f t="shared" si="250"/>
        <v>0</v>
      </c>
      <c r="M222" s="3055"/>
      <c r="N222" s="1951"/>
      <c r="O222" s="1937" t="str">
        <f t="shared" si="224"/>
        <v xml:space="preserve"> </v>
      </c>
      <c r="P222" s="1937" t="str">
        <f>IF(E222&lt;G222," EROARE"," ")</f>
        <v xml:space="preserve"> </v>
      </c>
      <c r="Q222" s="723"/>
      <c r="R222" s="1939" t="str">
        <f t="shared" si="220"/>
        <v xml:space="preserve"> </v>
      </c>
      <c r="S222" s="1939" t="str">
        <f>IF(G222&lt;K222," EROARE"," ")</f>
        <v xml:space="preserve"> </v>
      </c>
      <c r="T222" s="1937" t="str">
        <f t="shared" si="226"/>
        <v xml:space="preserve"> </v>
      </c>
      <c r="U222" s="1937" t="str">
        <f t="shared" si="212"/>
        <v xml:space="preserve"> </v>
      </c>
      <c r="V222" s="727"/>
    </row>
    <row r="223" spans="1:22" s="728" customFormat="1" ht="25.5">
      <c r="A223" s="3146" t="s">
        <v>836</v>
      </c>
      <c r="B223" s="3052" t="s">
        <v>837</v>
      </c>
      <c r="C223" s="3060">
        <f t="shared" ref="C223:D223" si="251">C224+C225</f>
        <v>3600000</v>
      </c>
      <c r="D223" s="3060">
        <f t="shared" si="251"/>
        <v>1813000</v>
      </c>
      <c r="E223" s="3060">
        <f>E224+E225</f>
        <v>3716000</v>
      </c>
      <c r="F223" s="3067">
        <f t="shared" ref="F223:M223" si="252">F224+F225</f>
        <v>1818000</v>
      </c>
      <c r="G223" s="3067">
        <f t="shared" si="252"/>
        <v>3716000</v>
      </c>
      <c r="H223" s="3060">
        <f t="shared" si="252"/>
        <v>3967639</v>
      </c>
      <c r="I223" s="3060">
        <f t="shared" si="252"/>
        <v>367639</v>
      </c>
      <c r="J223" s="3060">
        <f t="shared" si="252"/>
        <v>3600000</v>
      </c>
      <c r="K223" s="3067">
        <f t="shared" si="252"/>
        <v>1818000</v>
      </c>
      <c r="L223" s="3060">
        <f t="shared" si="252"/>
        <v>2149639</v>
      </c>
      <c r="M223" s="3068">
        <f t="shared" si="252"/>
        <v>1599729</v>
      </c>
      <c r="N223" s="1951"/>
      <c r="O223" s="1937" t="str">
        <f t="shared" si="224"/>
        <v xml:space="preserve"> </v>
      </c>
      <c r="P223" s="1937" t="str">
        <f t="shared" si="219"/>
        <v xml:space="preserve"> </v>
      </c>
      <c r="Q223" s="723"/>
      <c r="R223" s="1939" t="str">
        <f t="shared" si="220"/>
        <v xml:space="preserve"> </v>
      </c>
      <c r="S223" s="1939" t="str">
        <f t="shared" si="225"/>
        <v xml:space="preserve"> </v>
      </c>
      <c r="T223" s="1937" t="str">
        <f t="shared" si="226"/>
        <v xml:space="preserve"> </v>
      </c>
      <c r="U223" s="1937" t="str">
        <f t="shared" si="212"/>
        <v xml:space="preserve"> </v>
      </c>
      <c r="V223" s="727"/>
    </row>
    <row r="224" spans="1:22" s="728" customFormat="1" ht="18" customHeight="1">
      <c r="A224" s="3159" t="s">
        <v>2454</v>
      </c>
      <c r="B224" s="3052"/>
      <c r="C224" s="3053">
        <v>3600000</v>
      </c>
      <c r="D224" s="3053">
        <v>1813000</v>
      </c>
      <c r="E224" s="3053">
        <v>3716000</v>
      </c>
      <c r="F224" s="3054">
        <v>1818000</v>
      </c>
      <c r="G224" s="3175">
        <f>'ANGAJ BUGETAR'!E201</f>
        <v>3716000</v>
      </c>
      <c r="H224" s="3117">
        <f t="shared" ref="H224" si="253">I224+J224</f>
        <v>3967639</v>
      </c>
      <c r="I224" s="3117">
        <f>'ANGAJAM LEGAL '!D201</f>
        <v>367639</v>
      </c>
      <c r="J224" s="3117">
        <f>'ANGAJAM LEGAL '!G201</f>
        <v>3600000</v>
      </c>
      <c r="K224" s="3175">
        <f>PLATI!E201</f>
        <v>1818000</v>
      </c>
      <c r="L224" s="3117">
        <f t="shared" ref="L224" si="254">ROUND(H224-K224,1)</f>
        <v>2149639</v>
      </c>
      <c r="M224" s="3055">
        <v>1599729</v>
      </c>
      <c r="N224" s="1951"/>
      <c r="O224" s="1937" t="str">
        <f t="shared" si="224"/>
        <v xml:space="preserve"> </v>
      </c>
      <c r="P224" s="1937" t="str">
        <f t="shared" si="219"/>
        <v xml:space="preserve"> </v>
      </c>
      <c r="Q224" s="723"/>
      <c r="R224" s="1939" t="str">
        <f t="shared" si="220"/>
        <v xml:space="preserve"> </v>
      </c>
      <c r="S224" s="1939" t="str">
        <f t="shared" si="225"/>
        <v xml:space="preserve"> </v>
      </c>
      <c r="T224" s="1937" t="str">
        <f t="shared" si="226"/>
        <v xml:space="preserve"> </v>
      </c>
      <c r="U224" s="1937" t="str">
        <f t="shared" si="212"/>
        <v xml:space="preserve"> </v>
      </c>
      <c r="V224" s="727"/>
    </row>
    <row r="225" spans="1:22" s="728" customFormat="1" ht="123.6" customHeight="1">
      <c r="A225" s="3159" t="s">
        <v>2452</v>
      </c>
      <c r="B225" s="3052"/>
      <c r="C225" s="3053"/>
      <c r="D225" s="3053"/>
      <c r="E225" s="3053"/>
      <c r="F225" s="3054"/>
      <c r="G225" s="3175">
        <f>'ANGAJ BUGETAR'!E202</f>
        <v>0</v>
      </c>
      <c r="H225" s="3117">
        <f t="shared" ref="H225" si="255">I225+J225</f>
        <v>0</v>
      </c>
      <c r="I225" s="3117">
        <f>'ANGAJAM LEGAL '!D202</f>
        <v>0</v>
      </c>
      <c r="J225" s="3117">
        <f>'ANGAJAM LEGAL '!G202</f>
        <v>0</v>
      </c>
      <c r="K225" s="3175">
        <f>PLATI!E202</f>
        <v>0</v>
      </c>
      <c r="L225" s="3117">
        <f t="shared" ref="L225" si="256">ROUND(H225-K225,1)</f>
        <v>0</v>
      </c>
      <c r="M225" s="3055"/>
      <c r="N225" s="1951"/>
      <c r="O225" s="1937" t="str">
        <f t="shared" si="224"/>
        <v xml:space="preserve"> </v>
      </c>
      <c r="P225" s="1937" t="str">
        <f t="shared" si="219"/>
        <v xml:space="preserve"> </v>
      </c>
      <c r="Q225" s="723"/>
      <c r="R225" s="1939" t="str">
        <f t="shared" si="220"/>
        <v xml:space="preserve"> </v>
      </c>
      <c r="S225" s="1939" t="str">
        <f t="shared" si="225"/>
        <v xml:space="preserve"> </v>
      </c>
      <c r="T225" s="1937" t="str">
        <f t="shared" si="226"/>
        <v xml:space="preserve"> </v>
      </c>
      <c r="U225" s="1937" t="str">
        <f t="shared" si="212"/>
        <v xml:space="preserve"> </v>
      </c>
      <c r="V225" s="727"/>
    </row>
    <row r="226" spans="1:22" s="732" customFormat="1" ht="25.9" customHeight="1">
      <c r="A226" s="3941" t="s">
        <v>838</v>
      </c>
      <c r="B226" s="3942" t="s">
        <v>839</v>
      </c>
      <c r="C226" s="3193">
        <f t="shared" ref="C226:M226" si="257">ROUND(+C227+C235+C241+C245+C259,1)</f>
        <v>88137450</v>
      </c>
      <c r="D226" s="3193">
        <f t="shared" si="257"/>
        <v>37225450</v>
      </c>
      <c r="E226" s="3193">
        <f t="shared" si="257"/>
        <v>84597510</v>
      </c>
      <c r="F226" s="3193">
        <f t="shared" si="257"/>
        <v>36465780</v>
      </c>
      <c r="G226" s="3193">
        <f t="shared" si="257"/>
        <v>84588774</v>
      </c>
      <c r="H226" s="3193">
        <f t="shared" si="257"/>
        <v>94594576</v>
      </c>
      <c r="I226" s="3193">
        <f t="shared" si="257"/>
        <v>6465862</v>
      </c>
      <c r="J226" s="3193">
        <f t="shared" si="257"/>
        <v>88128714</v>
      </c>
      <c r="K226" s="3193">
        <f t="shared" si="257"/>
        <v>36253987</v>
      </c>
      <c r="L226" s="3193">
        <f t="shared" si="257"/>
        <v>58340589</v>
      </c>
      <c r="M226" s="3194">
        <f t="shared" si="257"/>
        <v>30433388</v>
      </c>
      <c r="N226" s="1949"/>
      <c r="O226" s="1937" t="str">
        <f t="shared" si="224"/>
        <v xml:space="preserve"> </v>
      </c>
      <c r="P226" s="1937" t="str">
        <f t="shared" si="219"/>
        <v xml:space="preserve"> </v>
      </c>
      <c r="Q226" s="723"/>
      <c r="R226" s="1939" t="str">
        <f t="shared" si="220"/>
        <v xml:space="preserve"> </v>
      </c>
      <c r="S226" s="1939" t="str">
        <f t="shared" si="225"/>
        <v xml:space="preserve"> </v>
      </c>
      <c r="T226" s="1937" t="str">
        <f t="shared" si="226"/>
        <v xml:space="preserve"> </v>
      </c>
      <c r="U226" s="1937" t="str">
        <f t="shared" si="212"/>
        <v xml:space="preserve"> </v>
      </c>
      <c r="V226" s="731"/>
    </row>
    <row r="227" spans="1:22" s="728" customFormat="1" ht="25.5">
      <c r="A227" s="3939" t="s">
        <v>1597</v>
      </c>
      <c r="B227" s="2729" t="s">
        <v>841</v>
      </c>
      <c r="C227" s="2726">
        <f t="shared" ref="C227:D227" si="258">+C228+C229+C230+C232+C231+C233+C234</f>
        <v>53469000</v>
      </c>
      <c r="D227" s="2726">
        <f t="shared" si="258"/>
        <v>21833000</v>
      </c>
      <c r="E227" s="2726">
        <f>+E228+E229+E230+E232+E231+E233+E234</f>
        <v>50066840</v>
      </c>
      <c r="F227" s="2726">
        <f t="shared" ref="F227:M227" si="259">+F228+F229+F230+F232+F231+F233+F234</f>
        <v>20116840</v>
      </c>
      <c r="G227" s="2726">
        <f t="shared" si="259"/>
        <v>50066519</v>
      </c>
      <c r="H227" s="2726">
        <f t="shared" si="259"/>
        <v>56632207</v>
      </c>
      <c r="I227" s="2726">
        <f t="shared" si="259"/>
        <v>3163528</v>
      </c>
      <c r="J227" s="2726">
        <f t="shared" si="259"/>
        <v>53468679</v>
      </c>
      <c r="K227" s="2726">
        <f t="shared" si="259"/>
        <v>19914444</v>
      </c>
      <c r="L227" s="2726">
        <f t="shared" si="259"/>
        <v>36717763</v>
      </c>
      <c r="M227" s="2728">
        <f t="shared" si="259"/>
        <v>16757181</v>
      </c>
      <c r="N227" s="1950"/>
      <c r="O227" s="1937" t="str">
        <f t="shared" si="224"/>
        <v xml:space="preserve"> </v>
      </c>
      <c r="P227" s="1937" t="str">
        <f t="shared" si="219"/>
        <v xml:space="preserve"> </v>
      </c>
      <c r="Q227" s="723"/>
      <c r="R227" s="1939" t="str">
        <f t="shared" si="220"/>
        <v xml:space="preserve"> </v>
      </c>
      <c r="S227" s="1939" t="str">
        <f t="shared" si="225"/>
        <v xml:space="preserve"> </v>
      </c>
      <c r="T227" s="1937" t="str">
        <f t="shared" si="226"/>
        <v xml:space="preserve"> </v>
      </c>
      <c r="U227" s="1937" t="str">
        <f t="shared" si="212"/>
        <v xml:space="preserve"> </v>
      </c>
      <c r="V227" s="727"/>
    </row>
    <row r="228" spans="1:22" s="728" customFormat="1" ht="34.15" customHeight="1">
      <c r="A228" s="3159" t="s">
        <v>1539</v>
      </c>
      <c r="B228" s="3044"/>
      <c r="C228" s="3045">
        <v>49123000</v>
      </c>
      <c r="D228" s="3045">
        <v>18977000</v>
      </c>
      <c r="E228" s="3045">
        <v>46838840</v>
      </c>
      <c r="F228" s="3046">
        <v>18553840</v>
      </c>
      <c r="G228" s="3059">
        <f>'ANGAJ BUGETAR'!E205</f>
        <v>46838519</v>
      </c>
      <c r="H228" s="3058">
        <f>I228+J228</f>
        <v>52075922</v>
      </c>
      <c r="I228" s="3058">
        <f>'ANGAJAM LEGAL '!D205</f>
        <v>2953243</v>
      </c>
      <c r="J228" s="3058">
        <f>'ANGAJAM LEGAL '!G205</f>
        <v>49122679</v>
      </c>
      <c r="K228" s="3059">
        <f>PLATI!E205</f>
        <v>18546565</v>
      </c>
      <c r="L228" s="3058">
        <f>ROUND(H228-K228,1)</f>
        <v>33529357</v>
      </c>
      <c r="M228" s="3047">
        <v>15593643</v>
      </c>
      <c r="N228" s="1675"/>
      <c r="O228" s="1937" t="str">
        <f t="shared" si="224"/>
        <v xml:space="preserve"> </v>
      </c>
      <c r="P228" s="1937" t="str">
        <f t="shared" si="219"/>
        <v xml:space="preserve"> </v>
      </c>
      <c r="Q228" s="723"/>
      <c r="R228" s="1939" t="str">
        <f t="shared" si="220"/>
        <v xml:space="preserve"> </v>
      </c>
      <c r="S228" s="1939" t="str">
        <f t="shared" si="225"/>
        <v xml:space="preserve"> </v>
      </c>
      <c r="T228" s="1937" t="str">
        <f t="shared" si="226"/>
        <v xml:space="preserve"> </v>
      </c>
      <c r="U228" s="1937" t="str">
        <f t="shared" si="212"/>
        <v xml:space="preserve"> </v>
      </c>
      <c r="V228" s="727"/>
    </row>
    <row r="229" spans="1:22" s="728" customFormat="1" ht="18" customHeight="1">
      <c r="A229" s="3159" t="s">
        <v>1560</v>
      </c>
      <c r="B229" s="3044"/>
      <c r="C229" s="3045">
        <v>2558000</v>
      </c>
      <c r="D229" s="3045">
        <v>1188000</v>
      </c>
      <c r="E229" s="3045">
        <v>2735000</v>
      </c>
      <c r="F229" s="3046">
        <v>1188000</v>
      </c>
      <c r="G229" s="3059">
        <f>'ANGAJ BUGETAR'!E206</f>
        <v>2735000</v>
      </c>
      <c r="H229" s="3058">
        <f>I229+J229</f>
        <v>2735600</v>
      </c>
      <c r="I229" s="3058">
        <f>'ANGAJAM LEGAL '!D206</f>
        <v>177600</v>
      </c>
      <c r="J229" s="3058">
        <f>'ANGAJAM LEGAL '!G206</f>
        <v>2558000</v>
      </c>
      <c r="K229" s="3059">
        <f>PLATI!E206</f>
        <v>1147279</v>
      </c>
      <c r="L229" s="3058">
        <f>ROUND(H229-K229,1)</f>
        <v>1588321</v>
      </c>
      <c r="M229" s="3047">
        <v>969679</v>
      </c>
      <c r="N229" s="1675"/>
      <c r="O229" s="1937" t="str">
        <f t="shared" si="224"/>
        <v xml:space="preserve"> </v>
      </c>
      <c r="P229" s="1937" t="str">
        <f t="shared" si="219"/>
        <v xml:space="preserve"> </v>
      </c>
      <c r="Q229" s="723"/>
      <c r="R229" s="1939" t="str">
        <f t="shared" si="220"/>
        <v xml:space="preserve"> </v>
      </c>
      <c r="S229" s="1939" t="str">
        <f t="shared" si="225"/>
        <v xml:space="preserve"> </v>
      </c>
      <c r="T229" s="1937" t="str">
        <f t="shared" si="226"/>
        <v xml:space="preserve"> </v>
      </c>
      <c r="U229" s="1937" t="str">
        <f t="shared" si="212"/>
        <v xml:space="preserve"> </v>
      </c>
      <c r="V229" s="727"/>
    </row>
    <row r="230" spans="1:22" s="728" customFormat="1" ht="63.75">
      <c r="A230" s="3159" t="s">
        <v>2206</v>
      </c>
      <c r="B230" s="3044"/>
      <c r="C230" s="3045">
        <v>135000</v>
      </c>
      <c r="D230" s="3045">
        <v>135000</v>
      </c>
      <c r="E230" s="3045">
        <v>135000</v>
      </c>
      <c r="F230" s="3046">
        <v>135000</v>
      </c>
      <c r="G230" s="3059">
        <f>'ANGAJ BUGETAR'!E207</f>
        <v>135000</v>
      </c>
      <c r="H230" s="3058">
        <f>I230+J230</f>
        <v>136785</v>
      </c>
      <c r="I230" s="3058">
        <f>'ANGAJAM LEGAL '!D207</f>
        <v>1785</v>
      </c>
      <c r="J230" s="3058">
        <f>'ANGAJAM LEGAL '!G207</f>
        <v>135000</v>
      </c>
      <c r="K230" s="3059">
        <f>PLATI!E207</f>
        <v>12600</v>
      </c>
      <c r="L230" s="3058">
        <f>ROUND(H230-K230,1)</f>
        <v>124185</v>
      </c>
      <c r="M230" s="3047">
        <v>10815</v>
      </c>
      <c r="N230" s="1675"/>
      <c r="O230" s="1937" t="str">
        <f t="shared" si="224"/>
        <v xml:space="preserve"> </v>
      </c>
      <c r="P230" s="1937" t="str">
        <f t="shared" si="219"/>
        <v xml:space="preserve"> </v>
      </c>
      <c r="Q230" s="723"/>
      <c r="R230" s="1939" t="str">
        <f t="shared" si="220"/>
        <v xml:space="preserve"> </v>
      </c>
      <c r="S230" s="1939" t="str">
        <f t="shared" si="225"/>
        <v xml:space="preserve"> </v>
      </c>
      <c r="T230" s="1937" t="str">
        <f t="shared" si="226"/>
        <v xml:space="preserve"> </v>
      </c>
      <c r="U230" s="1937" t="str">
        <f t="shared" si="212"/>
        <v xml:space="preserve"> </v>
      </c>
      <c r="V230" s="727"/>
    </row>
    <row r="231" spans="1:22" s="728" customFormat="1" ht="51" hidden="1">
      <c r="A231" s="3159" t="s">
        <v>2417</v>
      </c>
      <c r="B231" s="3044"/>
      <c r="C231" s="3045"/>
      <c r="D231" s="3045"/>
      <c r="E231" s="3045"/>
      <c r="F231" s="3046"/>
      <c r="G231" s="3059">
        <f>'ANGAJ BUGETAR'!E208</f>
        <v>0</v>
      </c>
      <c r="H231" s="3058">
        <f>I231+J231</f>
        <v>0</v>
      </c>
      <c r="I231" s="3058">
        <f>'ANGAJAM LEGAL '!D208</f>
        <v>0</v>
      </c>
      <c r="J231" s="3058">
        <f>'ANGAJAM LEGAL '!E208</f>
        <v>0</v>
      </c>
      <c r="K231" s="3059">
        <f>PLATI!E208</f>
        <v>0</v>
      </c>
      <c r="L231" s="3058">
        <f>ROUND(H231-K231,1)</f>
        <v>0</v>
      </c>
      <c r="M231" s="3047">
        <v>0</v>
      </c>
      <c r="N231" s="1675"/>
      <c r="O231" s="1937" t="str">
        <f t="shared" si="224"/>
        <v xml:space="preserve"> </v>
      </c>
      <c r="P231" s="1937" t="str">
        <f t="shared" si="219"/>
        <v xml:space="preserve"> </v>
      </c>
      <c r="Q231" s="723"/>
      <c r="R231" s="1939" t="str">
        <f t="shared" si="220"/>
        <v xml:space="preserve"> </v>
      </c>
      <c r="S231" s="1939" t="str">
        <f t="shared" si="225"/>
        <v xml:space="preserve"> </v>
      </c>
      <c r="T231" s="1937" t="str">
        <f t="shared" si="226"/>
        <v xml:space="preserve"> </v>
      </c>
      <c r="U231" s="1937" t="str">
        <f t="shared" si="212"/>
        <v xml:space="preserve"> </v>
      </c>
      <c r="V231" s="727"/>
    </row>
    <row r="232" spans="1:22" s="728" customFormat="1" ht="60">
      <c r="A232" s="3173" t="s">
        <v>2418</v>
      </c>
      <c r="B232" s="3044"/>
      <c r="C232" s="3045">
        <v>351000</v>
      </c>
      <c r="D232" s="3045">
        <v>231000</v>
      </c>
      <c r="E232" s="3045">
        <v>319000</v>
      </c>
      <c r="F232" s="3046">
        <v>231000</v>
      </c>
      <c r="G232" s="3059">
        <f>'ANGAJ BUGETAR'!E209</f>
        <v>319000</v>
      </c>
      <c r="H232" s="3058">
        <f>I232+J232</f>
        <v>381900</v>
      </c>
      <c r="I232" s="3058">
        <f>'ANGAJAM LEGAL '!D209</f>
        <v>30900</v>
      </c>
      <c r="J232" s="3058">
        <f>'ANGAJAM LEGAL '!G209</f>
        <v>351000</v>
      </c>
      <c r="K232" s="3059">
        <f>PLATI!E209</f>
        <v>199000</v>
      </c>
      <c r="L232" s="3058">
        <f>ROUND(H232-K232,1)</f>
        <v>182900</v>
      </c>
      <c r="M232" s="3047">
        <v>173200</v>
      </c>
      <c r="N232" s="1675"/>
      <c r="O232" s="1937" t="str">
        <f t="shared" si="224"/>
        <v xml:space="preserve"> </v>
      </c>
      <c r="P232" s="1937" t="str">
        <f t="shared" si="219"/>
        <v xml:space="preserve"> </v>
      </c>
      <c r="Q232" s="723"/>
      <c r="R232" s="1939" t="str">
        <f t="shared" si="220"/>
        <v xml:space="preserve"> </v>
      </c>
      <c r="S232" s="1939" t="str">
        <f t="shared" si="225"/>
        <v xml:space="preserve"> </v>
      </c>
      <c r="T232" s="1937" t="str">
        <f t="shared" si="226"/>
        <v xml:space="preserve"> </v>
      </c>
      <c r="U232" s="1937" t="str">
        <f t="shared" si="212"/>
        <v xml:space="preserve"> </v>
      </c>
      <c r="V232" s="727"/>
    </row>
    <row r="233" spans="1:22" s="728" customFormat="1" ht="102">
      <c r="A233" s="3159" t="s">
        <v>2452</v>
      </c>
      <c r="B233" s="3044"/>
      <c r="C233" s="3045"/>
      <c r="D233" s="3045"/>
      <c r="E233" s="3045"/>
      <c r="F233" s="3046"/>
      <c r="G233" s="3059">
        <f>'ANGAJ BUGETAR'!E210</f>
        <v>0</v>
      </c>
      <c r="H233" s="3058">
        <f t="shared" ref="H233:H234" si="260">I233+J233</f>
        <v>0</v>
      </c>
      <c r="I233" s="3058">
        <f>'ANGAJAM LEGAL '!D210</f>
        <v>0</v>
      </c>
      <c r="J233" s="3058">
        <f>'ANGAJAM LEGAL '!G210</f>
        <v>0</v>
      </c>
      <c r="K233" s="3059">
        <f>PLATI!E210</f>
        <v>0</v>
      </c>
      <c r="L233" s="3058">
        <f t="shared" ref="L233:L234" si="261">ROUND(H233-K233,1)</f>
        <v>0</v>
      </c>
      <c r="M233" s="3047"/>
      <c r="N233" s="1675"/>
      <c r="O233" s="1937" t="str">
        <f t="shared" si="224"/>
        <v xml:space="preserve"> </v>
      </c>
      <c r="P233" s="1937" t="str">
        <f t="shared" si="219"/>
        <v xml:space="preserve"> </v>
      </c>
      <c r="Q233" s="723"/>
      <c r="R233" s="1939" t="str">
        <f t="shared" si="220"/>
        <v xml:space="preserve"> </v>
      </c>
      <c r="S233" s="1939" t="str">
        <f t="shared" si="225"/>
        <v xml:space="preserve"> </v>
      </c>
      <c r="T233" s="1937" t="str">
        <f t="shared" si="226"/>
        <v xml:space="preserve"> </v>
      </c>
      <c r="U233" s="1937" t="str">
        <f t="shared" si="212"/>
        <v xml:space="preserve"> </v>
      </c>
      <c r="V233" s="727"/>
    </row>
    <row r="234" spans="1:22" s="728" customFormat="1" ht="76.5">
      <c r="A234" s="3159" t="s">
        <v>2569</v>
      </c>
      <c r="B234" s="3044"/>
      <c r="C234" s="3045">
        <v>1302000</v>
      </c>
      <c r="D234" s="3045">
        <v>1302000</v>
      </c>
      <c r="E234" s="3045">
        <v>39000</v>
      </c>
      <c r="F234" s="3046">
        <v>9000</v>
      </c>
      <c r="G234" s="3059">
        <f>'ANGAJ BUGETAR'!E211</f>
        <v>39000</v>
      </c>
      <c r="H234" s="3058">
        <f t="shared" si="260"/>
        <v>1302000</v>
      </c>
      <c r="I234" s="3058">
        <f>'ANGAJAM LEGAL '!D211</f>
        <v>0</v>
      </c>
      <c r="J234" s="3058">
        <f>'ANGAJAM LEGAL '!G211</f>
        <v>1302000</v>
      </c>
      <c r="K234" s="3059">
        <f>PLATI!E211</f>
        <v>9000</v>
      </c>
      <c r="L234" s="3058">
        <f t="shared" si="261"/>
        <v>1293000</v>
      </c>
      <c r="M234" s="3047">
        <v>9844</v>
      </c>
      <c r="N234" s="1675"/>
      <c r="O234" s="1937"/>
      <c r="P234" s="1937"/>
      <c r="Q234" s="723"/>
      <c r="R234" s="1939"/>
      <c r="S234" s="1939"/>
      <c r="T234" s="1937"/>
      <c r="U234" s="1937"/>
      <c r="V234" s="727"/>
    </row>
    <row r="235" spans="1:22" s="728" customFormat="1" ht="25.5">
      <c r="A235" s="3146" t="s">
        <v>842</v>
      </c>
      <c r="B235" s="3052" t="s">
        <v>843</v>
      </c>
      <c r="C235" s="3060">
        <f>C236+C237+C238+C239+C240</f>
        <v>20792000</v>
      </c>
      <c r="D235" s="3060">
        <f t="shared" ref="D235:M235" si="262">D236+D237+D238+D239+D240</f>
        <v>8197000</v>
      </c>
      <c r="E235" s="3060">
        <f t="shared" si="262"/>
        <v>21049000</v>
      </c>
      <c r="F235" s="3060">
        <f t="shared" si="262"/>
        <v>9665000</v>
      </c>
      <c r="G235" s="3060">
        <f t="shared" si="262"/>
        <v>21043425</v>
      </c>
      <c r="H235" s="3060">
        <f t="shared" si="262"/>
        <v>22962829</v>
      </c>
      <c r="I235" s="3060">
        <f t="shared" si="262"/>
        <v>2176404</v>
      </c>
      <c r="J235" s="3060">
        <f t="shared" si="262"/>
        <v>20786425</v>
      </c>
      <c r="K235" s="3060">
        <f t="shared" si="262"/>
        <v>9659425</v>
      </c>
      <c r="L235" s="3060">
        <f t="shared" si="262"/>
        <v>13303404</v>
      </c>
      <c r="M235" s="3068">
        <f t="shared" si="262"/>
        <v>7579390</v>
      </c>
      <c r="N235" s="1950"/>
      <c r="O235" s="1937" t="str">
        <f t="shared" si="224"/>
        <v xml:space="preserve"> </v>
      </c>
      <c r="P235" s="1937" t="str">
        <f t="shared" si="219"/>
        <v xml:space="preserve"> </v>
      </c>
      <c r="Q235" s="723"/>
      <c r="R235" s="1939" t="str">
        <f t="shared" si="220"/>
        <v xml:space="preserve"> </v>
      </c>
      <c r="S235" s="1939" t="str">
        <f t="shared" si="225"/>
        <v xml:space="preserve"> </v>
      </c>
      <c r="T235" s="1937" t="str">
        <f t="shared" si="226"/>
        <v xml:space="preserve"> </v>
      </c>
      <c r="U235" s="1937" t="str">
        <f t="shared" si="212"/>
        <v xml:space="preserve"> </v>
      </c>
      <c r="V235" s="727"/>
    </row>
    <row r="236" spans="1:22" s="728" customFormat="1" ht="18" customHeight="1">
      <c r="A236" s="3176" t="s">
        <v>1539</v>
      </c>
      <c r="B236" s="3052"/>
      <c r="C236" s="3053">
        <v>20792000</v>
      </c>
      <c r="D236" s="3053">
        <v>8197000</v>
      </c>
      <c r="E236" s="3053">
        <v>21049000</v>
      </c>
      <c r="F236" s="3053">
        <v>9665000</v>
      </c>
      <c r="G236" s="3175">
        <f>'ANGAJ BUGETAR'!E213</f>
        <v>21043425</v>
      </c>
      <c r="H236" s="3117">
        <f t="shared" ref="H236:H237" si="263">I236+J236</f>
        <v>22962829</v>
      </c>
      <c r="I236" s="3117">
        <f>'ANGAJAM LEGAL '!D213</f>
        <v>2176404</v>
      </c>
      <c r="J236" s="3117">
        <f>'ANGAJAM LEGAL '!G213</f>
        <v>20786425</v>
      </c>
      <c r="K236" s="3175">
        <f>PLATI!E213</f>
        <v>9659425</v>
      </c>
      <c r="L236" s="3117">
        <f t="shared" ref="L236:L237" si="264">ROUND(H236-K236,1)</f>
        <v>13303404</v>
      </c>
      <c r="M236" s="3055">
        <v>7579390</v>
      </c>
      <c r="N236" s="1952"/>
      <c r="O236" s="1937" t="str">
        <f t="shared" si="224"/>
        <v xml:space="preserve"> </v>
      </c>
      <c r="P236" s="1937" t="str">
        <f t="shared" si="219"/>
        <v xml:space="preserve"> </v>
      </c>
      <c r="Q236" s="723"/>
      <c r="R236" s="1939" t="str">
        <f t="shared" si="220"/>
        <v xml:space="preserve"> </v>
      </c>
      <c r="S236" s="1939" t="str">
        <f t="shared" si="225"/>
        <v xml:space="preserve"> </v>
      </c>
      <c r="T236" s="1937" t="str">
        <f t="shared" si="226"/>
        <v xml:space="preserve"> </v>
      </c>
      <c r="U236" s="1937" t="str">
        <f t="shared" si="212"/>
        <v xml:space="preserve"> </v>
      </c>
      <c r="V236" s="727"/>
    </row>
    <row r="237" spans="1:22" s="728" customFormat="1" ht="48" hidden="1">
      <c r="A237" s="3177" t="s">
        <v>2294</v>
      </c>
      <c r="B237" s="3052"/>
      <c r="C237" s="3053"/>
      <c r="D237" s="3053"/>
      <c r="E237" s="3053"/>
      <c r="F237" s="3053"/>
      <c r="G237" s="3175">
        <f>'ANGAJ BUGETAR'!E214</f>
        <v>0</v>
      </c>
      <c r="H237" s="3117">
        <f t="shared" si="263"/>
        <v>0</v>
      </c>
      <c r="I237" s="3117">
        <f>'ANGAJAM LEGAL '!D214</f>
        <v>0</v>
      </c>
      <c r="J237" s="3117">
        <f>'ANGAJAM LEGAL '!G214</f>
        <v>0</v>
      </c>
      <c r="K237" s="3175">
        <f>PLATI!E214</f>
        <v>0</v>
      </c>
      <c r="L237" s="3117">
        <f t="shared" si="264"/>
        <v>0</v>
      </c>
      <c r="M237" s="3055">
        <v>0</v>
      </c>
      <c r="N237" s="1952"/>
      <c r="O237" s="1937" t="str">
        <f t="shared" si="224"/>
        <v xml:space="preserve"> </v>
      </c>
      <c r="P237" s="1937" t="str">
        <f t="shared" si="219"/>
        <v xml:space="preserve"> </v>
      </c>
      <c r="Q237" s="723"/>
      <c r="R237" s="1939" t="str">
        <f t="shared" si="220"/>
        <v xml:space="preserve"> </v>
      </c>
      <c r="S237" s="1939" t="str">
        <f t="shared" si="225"/>
        <v xml:space="preserve"> </v>
      </c>
      <c r="T237" s="1937" t="str">
        <f t="shared" si="226"/>
        <v xml:space="preserve"> </v>
      </c>
      <c r="U237" s="1937" t="str">
        <f t="shared" si="212"/>
        <v xml:space="preserve"> </v>
      </c>
      <c r="V237" s="727"/>
    </row>
    <row r="238" spans="1:22" s="728" customFormat="1" ht="90" hidden="1">
      <c r="A238" s="3405" t="s">
        <v>2328</v>
      </c>
      <c r="B238" s="3052"/>
      <c r="C238" s="3053"/>
      <c r="D238" s="3053"/>
      <c r="E238" s="3053"/>
      <c r="F238" s="3053"/>
      <c r="G238" s="3175">
        <f>'ANGAJ BUGETAR'!E215</f>
        <v>0</v>
      </c>
      <c r="H238" s="3117">
        <f t="shared" ref="H238:H240" si="265">I238+J238</f>
        <v>0</v>
      </c>
      <c r="I238" s="3117">
        <f>'ANGAJAM LEGAL '!D215</f>
        <v>0</v>
      </c>
      <c r="J238" s="3117">
        <f>'ANGAJAM LEGAL '!G215</f>
        <v>0</v>
      </c>
      <c r="K238" s="3175">
        <f>PLATI!E215</f>
        <v>0</v>
      </c>
      <c r="L238" s="3117">
        <f t="shared" ref="L238:L240" si="266">ROUND(H238-K238,1)</f>
        <v>0</v>
      </c>
      <c r="M238" s="3055">
        <v>0</v>
      </c>
      <c r="N238" s="1952"/>
      <c r="O238" s="1937" t="str">
        <f t="shared" si="224"/>
        <v xml:space="preserve"> </v>
      </c>
      <c r="P238" s="1937" t="str">
        <f t="shared" si="219"/>
        <v xml:space="preserve"> </v>
      </c>
      <c r="Q238" s="723"/>
      <c r="R238" s="1939" t="str">
        <f t="shared" si="220"/>
        <v xml:space="preserve"> </v>
      </c>
      <c r="S238" s="1939" t="str">
        <f t="shared" si="225"/>
        <v xml:space="preserve"> </v>
      </c>
      <c r="T238" s="1937" t="str">
        <f t="shared" si="226"/>
        <v xml:space="preserve"> </v>
      </c>
      <c r="U238" s="1937" t="str">
        <f t="shared" si="212"/>
        <v xml:space="preserve"> </v>
      </c>
      <c r="V238" s="727"/>
    </row>
    <row r="239" spans="1:22" s="728" customFormat="1" ht="102">
      <c r="A239" s="3159" t="s">
        <v>2452</v>
      </c>
      <c r="B239" s="3052"/>
      <c r="C239" s="3053"/>
      <c r="D239" s="3053"/>
      <c r="E239" s="3053"/>
      <c r="F239" s="3053"/>
      <c r="G239" s="3175">
        <f>'ANGAJ BUGETAR'!E216</f>
        <v>0</v>
      </c>
      <c r="H239" s="3117">
        <f t="shared" si="265"/>
        <v>0</v>
      </c>
      <c r="I239" s="3117">
        <f>'ANGAJAM LEGAL '!D216</f>
        <v>0</v>
      </c>
      <c r="J239" s="3117">
        <f>'ANGAJAM LEGAL '!G216</f>
        <v>0</v>
      </c>
      <c r="K239" s="3175">
        <f>PLATI!E216</f>
        <v>0</v>
      </c>
      <c r="L239" s="3117">
        <f t="shared" si="266"/>
        <v>0</v>
      </c>
      <c r="M239" s="3055"/>
      <c r="N239" s="1952"/>
      <c r="O239" s="1937" t="str">
        <f t="shared" si="224"/>
        <v xml:space="preserve"> </v>
      </c>
      <c r="P239" s="1937" t="str">
        <f t="shared" si="219"/>
        <v xml:space="preserve"> </v>
      </c>
      <c r="Q239" s="723"/>
      <c r="R239" s="1939" t="str">
        <f t="shared" si="220"/>
        <v xml:space="preserve"> </v>
      </c>
      <c r="S239" s="1939" t="str">
        <f t="shared" si="225"/>
        <v xml:space="preserve"> </v>
      </c>
      <c r="T239" s="1937" t="str">
        <f t="shared" si="226"/>
        <v xml:space="preserve"> </v>
      </c>
      <c r="U239" s="1937" t="str">
        <f t="shared" si="212"/>
        <v xml:space="preserve"> </v>
      </c>
      <c r="V239" s="727"/>
    </row>
    <row r="240" spans="1:22" s="728" customFormat="1" ht="51">
      <c r="A240" s="3159" t="s">
        <v>2570</v>
      </c>
      <c r="B240" s="3052"/>
      <c r="C240" s="3053"/>
      <c r="D240" s="3053"/>
      <c r="E240" s="3053"/>
      <c r="F240" s="3053"/>
      <c r="G240" s="3175">
        <f>'ANGAJ BUGETAR'!E217</f>
        <v>0</v>
      </c>
      <c r="H240" s="3117">
        <f t="shared" si="265"/>
        <v>0</v>
      </c>
      <c r="I240" s="3117">
        <f>'ANGAJAM LEGAL '!D217</f>
        <v>0</v>
      </c>
      <c r="J240" s="3117">
        <f>'ANGAJAM LEGAL '!G217</f>
        <v>0</v>
      </c>
      <c r="K240" s="3175">
        <f>PLATI!E217</f>
        <v>0</v>
      </c>
      <c r="L240" s="3117">
        <f t="shared" si="266"/>
        <v>0</v>
      </c>
      <c r="M240" s="3055"/>
      <c r="N240" s="1952"/>
      <c r="O240" s="1937"/>
      <c r="P240" s="1937"/>
      <c r="Q240" s="723"/>
      <c r="R240" s="1939"/>
      <c r="S240" s="1939"/>
      <c r="T240" s="1937"/>
      <c r="U240" s="1937"/>
      <c r="V240" s="727"/>
    </row>
    <row r="241" spans="1:22" s="728" customFormat="1" ht="18" customHeight="1">
      <c r="A241" s="3146" t="s">
        <v>844</v>
      </c>
      <c r="B241" s="3052" t="s">
        <v>845</v>
      </c>
      <c r="C241" s="3060">
        <f t="shared" ref="C241:D241" si="267">C242+C243+C244</f>
        <v>1530000</v>
      </c>
      <c r="D241" s="3060">
        <f t="shared" si="267"/>
        <v>612000</v>
      </c>
      <c r="E241" s="3060">
        <f>E242+E243+E244</f>
        <v>1463840</v>
      </c>
      <c r="F241" s="3060">
        <f t="shared" ref="F241:M241" si="268">F242+F243+F244</f>
        <v>596840</v>
      </c>
      <c r="G241" s="3060">
        <f t="shared" si="268"/>
        <v>1463372</v>
      </c>
      <c r="H241" s="3060">
        <f t="shared" si="268"/>
        <v>1616193</v>
      </c>
      <c r="I241" s="3060">
        <f t="shared" si="268"/>
        <v>86661</v>
      </c>
      <c r="J241" s="3060">
        <f t="shared" si="268"/>
        <v>1529532</v>
      </c>
      <c r="K241" s="3060">
        <f t="shared" si="268"/>
        <v>595684</v>
      </c>
      <c r="L241" s="3060">
        <f t="shared" si="268"/>
        <v>1020509</v>
      </c>
      <c r="M241" s="3068">
        <f t="shared" si="268"/>
        <v>509491</v>
      </c>
      <c r="N241" s="1950"/>
      <c r="O241" s="1937" t="str">
        <f t="shared" si="224"/>
        <v xml:space="preserve"> </v>
      </c>
      <c r="P241" s="1937" t="str">
        <f t="shared" si="219"/>
        <v xml:space="preserve"> </v>
      </c>
      <c r="Q241" s="723"/>
      <c r="R241" s="1939" t="str">
        <f t="shared" si="220"/>
        <v xml:space="preserve"> </v>
      </c>
      <c r="S241" s="1939" t="str">
        <f t="shared" si="225"/>
        <v xml:space="preserve"> </v>
      </c>
      <c r="T241" s="1937" t="str">
        <f t="shared" si="226"/>
        <v xml:space="preserve"> </v>
      </c>
      <c r="U241" s="1937" t="str">
        <f t="shared" si="212"/>
        <v xml:space="preserve"> </v>
      </c>
      <c r="V241" s="727"/>
    </row>
    <row r="242" spans="1:22" s="728" customFormat="1" ht="18" customHeight="1">
      <c r="A242" s="3159" t="s">
        <v>1539</v>
      </c>
      <c r="B242" s="3044"/>
      <c r="C242" s="3045">
        <v>1530000</v>
      </c>
      <c r="D242" s="3045">
        <v>612000</v>
      </c>
      <c r="E242" s="3045">
        <v>1463840</v>
      </c>
      <c r="F242" s="3046">
        <v>596840</v>
      </c>
      <c r="G242" s="3059">
        <f>'ANGAJ BUGETAR'!E219</f>
        <v>1463372</v>
      </c>
      <c r="H242" s="3058">
        <f>I242+J242</f>
        <v>1616193</v>
      </c>
      <c r="I242" s="3058">
        <f>'ANGAJAM LEGAL '!D219</f>
        <v>86661</v>
      </c>
      <c r="J242" s="3058">
        <f>'ANGAJAM LEGAL '!G219</f>
        <v>1529532</v>
      </c>
      <c r="K242" s="3059">
        <f>PLATI!E219</f>
        <v>595684</v>
      </c>
      <c r="L242" s="3058">
        <f>ROUND(H242-K242,1)</f>
        <v>1020509</v>
      </c>
      <c r="M242" s="3047">
        <v>509491</v>
      </c>
      <c r="N242" s="1675"/>
      <c r="O242" s="1937" t="str">
        <f t="shared" si="224"/>
        <v xml:space="preserve"> </v>
      </c>
      <c r="P242" s="1937" t="str">
        <f t="shared" si="219"/>
        <v xml:space="preserve"> </v>
      </c>
      <c r="Q242" s="723"/>
      <c r="R242" s="1939" t="str">
        <f t="shared" si="220"/>
        <v xml:space="preserve"> </v>
      </c>
      <c r="S242" s="1939" t="str">
        <f t="shared" si="225"/>
        <v xml:space="preserve"> </v>
      </c>
      <c r="T242" s="1937" t="str">
        <f t="shared" si="226"/>
        <v xml:space="preserve"> </v>
      </c>
      <c r="U242" s="1937" t="str">
        <f t="shared" si="212"/>
        <v xml:space="preserve"> </v>
      </c>
      <c r="V242" s="727"/>
    </row>
    <row r="243" spans="1:22" s="728" customFormat="1" ht="25.9" customHeight="1">
      <c r="A243" s="3209" t="s">
        <v>1540</v>
      </c>
      <c r="B243" s="3187"/>
      <c r="C243" s="3197"/>
      <c r="D243" s="3197"/>
      <c r="E243" s="3197"/>
      <c r="F243" s="3198"/>
      <c r="G243" s="3199">
        <f>'ANGAJ BUGETAR'!E220</f>
        <v>0</v>
      </c>
      <c r="H243" s="3188">
        <f>I243+J243</f>
        <v>0</v>
      </c>
      <c r="I243" s="3188">
        <f>'ANGAJAM LEGAL '!D220</f>
        <v>0</v>
      </c>
      <c r="J243" s="3188">
        <f>'ANGAJAM LEGAL '!G220</f>
        <v>0</v>
      </c>
      <c r="K243" s="3199">
        <f>PLATI!E220</f>
        <v>0</v>
      </c>
      <c r="L243" s="3188">
        <f>ROUND(H243-K243,1)</f>
        <v>0</v>
      </c>
      <c r="M243" s="3200"/>
      <c r="N243" s="1675"/>
      <c r="O243" s="1937" t="str">
        <f t="shared" si="224"/>
        <v xml:space="preserve"> </v>
      </c>
      <c r="P243" s="1937" t="str">
        <f t="shared" si="219"/>
        <v xml:space="preserve"> </v>
      </c>
      <c r="Q243" s="723"/>
      <c r="R243" s="1939" t="str">
        <f t="shared" si="220"/>
        <v xml:space="preserve"> </v>
      </c>
      <c r="S243" s="1939" t="str">
        <f t="shared" si="225"/>
        <v xml:space="preserve"> </v>
      </c>
      <c r="T243" s="1937" t="str">
        <f t="shared" si="226"/>
        <v xml:space="preserve"> </v>
      </c>
      <c r="U243" s="1937" t="str">
        <f t="shared" si="212"/>
        <v xml:space="preserve"> </v>
      </c>
      <c r="V243" s="727"/>
    </row>
    <row r="244" spans="1:22" s="728" customFormat="1" ht="117.6" customHeight="1">
      <c r="A244" s="3897" t="s">
        <v>2452</v>
      </c>
      <c r="B244" s="2719"/>
      <c r="C244" s="2720"/>
      <c r="D244" s="2720"/>
      <c r="E244" s="2720"/>
      <c r="F244" s="2721"/>
      <c r="G244" s="2722">
        <f>'ANGAJ BUGETAR'!E221</f>
        <v>0</v>
      </c>
      <c r="H244" s="2723">
        <f t="shared" ref="H244" si="269">I244+J244</f>
        <v>0</v>
      </c>
      <c r="I244" s="2723">
        <f>'ANGAJAM LEGAL '!D221</f>
        <v>0</v>
      </c>
      <c r="J244" s="2723">
        <f>'ANGAJAM LEGAL '!G221</f>
        <v>0</v>
      </c>
      <c r="K244" s="2722">
        <f>PLATI!E221</f>
        <v>0</v>
      </c>
      <c r="L244" s="2723">
        <f t="shared" ref="L244" si="270">ROUND(H244-K244,1)</f>
        <v>0</v>
      </c>
      <c r="M244" s="2724"/>
      <c r="N244" s="1675"/>
      <c r="O244" s="1937" t="str">
        <f t="shared" si="224"/>
        <v xml:space="preserve"> </v>
      </c>
      <c r="P244" s="1937" t="str">
        <f t="shared" si="219"/>
        <v xml:space="preserve"> </v>
      </c>
      <c r="Q244" s="723"/>
      <c r="R244" s="1939" t="str">
        <f t="shared" si="220"/>
        <v xml:space="preserve"> </v>
      </c>
      <c r="S244" s="1939" t="str">
        <f t="shared" si="225"/>
        <v xml:space="preserve"> </v>
      </c>
      <c r="T244" s="1937" t="str">
        <f t="shared" si="226"/>
        <v xml:space="preserve"> </v>
      </c>
      <c r="U244" s="1937" t="str">
        <f t="shared" si="212"/>
        <v xml:space="preserve"> </v>
      </c>
      <c r="V244" s="727"/>
    </row>
    <row r="245" spans="1:22" s="728" customFormat="1" ht="25.5">
      <c r="A245" s="3146" t="s">
        <v>2137</v>
      </c>
      <c r="B245" s="3052" t="s">
        <v>847</v>
      </c>
      <c r="C245" s="3060">
        <f>C246+C248+C257+C247</f>
        <v>10866450</v>
      </c>
      <c r="D245" s="3060">
        <f t="shared" ref="D245:M245" si="271">D246+D248+D257+D247</f>
        <v>6012450</v>
      </c>
      <c r="E245" s="3060">
        <f t="shared" si="271"/>
        <v>10614430</v>
      </c>
      <c r="F245" s="3060">
        <f t="shared" si="271"/>
        <v>5536700</v>
      </c>
      <c r="G245" s="3060">
        <f t="shared" si="271"/>
        <v>10612514</v>
      </c>
      <c r="H245" s="3060">
        <f t="shared" si="271"/>
        <v>11829995</v>
      </c>
      <c r="I245" s="3060">
        <f t="shared" si="271"/>
        <v>965461</v>
      </c>
      <c r="J245" s="3060">
        <f t="shared" si="271"/>
        <v>10864534</v>
      </c>
      <c r="K245" s="3060">
        <f t="shared" si="271"/>
        <v>5534784</v>
      </c>
      <c r="L245" s="3060">
        <f t="shared" si="271"/>
        <v>6295211</v>
      </c>
      <c r="M245" s="3068">
        <f t="shared" si="271"/>
        <v>5111028</v>
      </c>
      <c r="N245" s="1950"/>
      <c r="O245" s="1937" t="str">
        <f t="shared" si="224"/>
        <v xml:space="preserve"> </v>
      </c>
      <c r="P245" s="1937" t="str">
        <f t="shared" si="219"/>
        <v xml:space="preserve"> </v>
      </c>
      <c r="Q245" s="723"/>
      <c r="R245" s="1939" t="str">
        <f t="shared" si="220"/>
        <v xml:space="preserve"> </v>
      </c>
      <c r="S245" s="1939" t="str">
        <f t="shared" si="225"/>
        <v xml:space="preserve"> </v>
      </c>
      <c r="T245" s="1937" t="str">
        <f t="shared" si="226"/>
        <v xml:space="preserve"> </v>
      </c>
      <c r="U245" s="1937" t="str">
        <f t="shared" si="212"/>
        <v xml:space="preserve"> </v>
      </c>
      <c r="V245" s="727"/>
    </row>
    <row r="246" spans="1:22" s="728" customFormat="1" ht="18" customHeight="1">
      <c r="A246" s="3159" t="s">
        <v>1539</v>
      </c>
      <c r="B246" s="3044"/>
      <c r="C246" s="3045">
        <v>10866450</v>
      </c>
      <c r="D246" s="3045">
        <v>6012450</v>
      </c>
      <c r="E246" s="3045">
        <v>10614430</v>
      </c>
      <c r="F246" s="3046">
        <v>5536700</v>
      </c>
      <c r="G246" s="3059">
        <f>'ANGAJ BUGETAR'!E223</f>
        <v>10612514</v>
      </c>
      <c r="H246" s="3058">
        <f>I246+J246</f>
        <v>11829995</v>
      </c>
      <c r="I246" s="3058">
        <f>'ANGAJAM LEGAL '!D223</f>
        <v>965461</v>
      </c>
      <c r="J246" s="3058">
        <f>'ANGAJAM LEGAL '!G223</f>
        <v>10864534</v>
      </c>
      <c r="K246" s="3059">
        <f>PLATI!E223</f>
        <v>5534784</v>
      </c>
      <c r="L246" s="3058">
        <f>ROUND(H246-K246,1)</f>
        <v>6295211</v>
      </c>
      <c r="M246" s="3047">
        <v>5111028</v>
      </c>
      <c r="N246" s="1675"/>
      <c r="O246" s="1937" t="str">
        <f t="shared" si="224"/>
        <v xml:space="preserve"> </v>
      </c>
      <c r="P246" s="1937" t="str">
        <f t="shared" si="219"/>
        <v xml:space="preserve"> </v>
      </c>
      <c r="Q246" s="723"/>
      <c r="R246" s="1939" t="str">
        <f t="shared" si="220"/>
        <v xml:space="preserve"> </v>
      </c>
      <c r="S246" s="1939" t="str">
        <f t="shared" si="225"/>
        <v xml:space="preserve"> </v>
      </c>
      <c r="T246" s="1937" t="str">
        <f t="shared" si="226"/>
        <v xml:space="preserve"> </v>
      </c>
      <c r="U246" s="1937" t="str">
        <f t="shared" si="212"/>
        <v xml:space="preserve"> </v>
      </c>
      <c r="V246" s="727"/>
    </row>
    <row r="247" spans="1:22" s="728" customFormat="1" ht="102">
      <c r="A247" s="3159" t="s">
        <v>2452</v>
      </c>
      <c r="B247" s="3044"/>
      <c r="C247" s="3045"/>
      <c r="D247" s="3045"/>
      <c r="E247" s="3045"/>
      <c r="F247" s="3046"/>
      <c r="G247" s="3059">
        <f>'ANGAJ BUGETAR'!E224</f>
        <v>0</v>
      </c>
      <c r="H247" s="3058">
        <f>I247+J247</f>
        <v>0</v>
      </c>
      <c r="I247" s="3058">
        <f>'ANGAJAM LEGAL '!D224</f>
        <v>0</v>
      </c>
      <c r="J247" s="3058">
        <f>'ANGAJAM LEGAL '!G224</f>
        <v>0</v>
      </c>
      <c r="K247" s="3059">
        <f>PLATI!E224</f>
        <v>0</v>
      </c>
      <c r="L247" s="3058">
        <f>ROUND(H247-K247,1)</f>
        <v>0</v>
      </c>
      <c r="M247" s="3047"/>
      <c r="N247" s="1675"/>
      <c r="O247" s="1937"/>
      <c r="P247" s="1937"/>
      <c r="Q247" s="723"/>
      <c r="R247" s="1939"/>
      <c r="S247" s="1939"/>
      <c r="T247" s="1937"/>
      <c r="U247" s="1937"/>
      <c r="V247" s="727"/>
    </row>
    <row r="248" spans="1:22" s="1882" customFormat="1" ht="25.5">
      <c r="A248" s="3178" t="s">
        <v>2295</v>
      </c>
      <c r="B248" s="3163"/>
      <c r="C248" s="3164">
        <f t="shared" ref="C248:M248" si="272">C249+C253+C256+C250+C258</f>
        <v>0</v>
      </c>
      <c r="D248" s="3164">
        <f t="shared" si="272"/>
        <v>0</v>
      </c>
      <c r="E248" s="3164">
        <f t="shared" si="272"/>
        <v>0</v>
      </c>
      <c r="F248" s="3179">
        <f t="shared" si="272"/>
        <v>0</v>
      </c>
      <c r="G248" s="3179">
        <f t="shared" si="272"/>
        <v>0</v>
      </c>
      <c r="H248" s="3179">
        <f t="shared" si="272"/>
        <v>0</v>
      </c>
      <c r="I248" s="3179">
        <f t="shared" si="272"/>
        <v>0</v>
      </c>
      <c r="J248" s="3179">
        <f t="shared" si="272"/>
        <v>0</v>
      </c>
      <c r="K248" s="3179">
        <f t="shared" si="272"/>
        <v>0</v>
      </c>
      <c r="L248" s="3179">
        <f t="shared" si="272"/>
        <v>0</v>
      </c>
      <c r="M248" s="3165">
        <f t="shared" si="272"/>
        <v>0</v>
      </c>
      <c r="N248" s="1954"/>
      <c r="O248" s="1937" t="str">
        <f t="shared" si="224"/>
        <v xml:space="preserve"> </v>
      </c>
      <c r="P248" s="1937" t="str">
        <f t="shared" si="219"/>
        <v xml:space="preserve"> </v>
      </c>
      <c r="Q248" s="723"/>
      <c r="R248" s="1939" t="str">
        <f t="shared" si="220"/>
        <v xml:space="preserve"> </v>
      </c>
      <c r="S248" s="1939" t="str">
        <f t="shared" si="225"/>
        <v xml:space="preserve"> </v>
      </c>
      <c r="T248" s="1937" t="str">
        <f t="shared" si="226"/>
        <v xml:space="preserve"> </v>
      </c>
      <c r="U248" s="1937" t="str">
        <f t="shared" si="212"/>
        <v xml:space="preserve"> </v>
      </c>
      <c r="V248" s="1881"/>
    </row>
    <row r="249" spans="1:22" s="728" customFormat="1" ht="36">
      <c r="A249" s="3173" t="s">
        <v>1561</v>
      </c>
      <c r="B249" s="3044"/>
      <c r="C249" s="3045"/>
      <c r="D249" s="3045"/>
      <c r="E249" s="3045"/>
      <c r="F249" s="3046"/>
      <c r="G249" s="3059">
        <f>'ANGAJ BUGETAR'!E226</f>
        <v>0</v>
      </c>
      <c r="H249" s="3058">
        <f>I249+J249</f>
        <v>0</v>
      </c>
      <c r="I249" s="3058">
        <f>'ANGAJAM LEGAL '!D226</f>
        <v>0</v>
      </c>
      <c r="J249" s="3058">
        <f>'ANGAJAM LEGAL '!E226</f>
        <v>0</v>
      </c>
      <c r="K249" s="3059">
        <f>PLATI!E226</f>
        <v>0</v>
      </c>
      <c r="L249" s="3058">
        <f>ROUND(H249-K249,1)</f>
        <v>0</v>
      </c>
      <c r="M249" s="3047"/>
      <c r="N249" s="1675"/>
      <c r="O249" s="1937" t="str">
        <f t="shared" si="224"/>
        <v xml:space="preserve"> </v>
      </c>
      <c r="P249" s="1937" t="str">
        <f t="shared" si="219"/>
        <v xml:space="preserve"> </v>
      </c>
      <c r="Q249" s="723"/>
      <c r="R249" s="1939" t="str">
        <f t="shared" si="220"/>
        <v xml:space="preserve"> </v>
      </c>
      <c r="S249" s="1939" t="str">
        <f t="shared" si="225"/>
        <v xml:space="preserve"> </v>
      </c>
      <c r="T249" s="1937" t="str">
        <f t="shared" si="226"/>
        <v xml:space="preserve"> </v>
      </c>
      <c r="U249" s="1937" t="str">
        <f t="shared" si="212"/>
        <v xml:space="preserve"> </v>
      </c>
      <c r="V249" s="727"/>
    </row>
    <row r="250" spans="1:22" s="728" customFormat="1" ht="18" customHeight="1">
      <c r="A250" s="3173" t="s">
        <v>2419</v>
      </c>
      <c r="B250" s="3044"/>
      <c r="C250" s="3058">
        <f>C251+C252</f>
        <v>0</v>
      </c>
      <c r="D250" s="3058">
        <f>D251+D252</f>
        <v>0</v>
      </c>
      <c r="E250" s="3058">
        <f t="shared" ref="E250:F250" si="273">E251+E252</f>
        <v>0</v>
      </c>
      <c r="F250" s="3058">
        <f t="shared" si="273"/>
        <v>0</v>
      </c>
      <c r="G250" s="3059">
        <f t="shared" ref="G250:M250" si="274">G251+G252</f>
        <v>0</v>
      </c>
      <c r="H250" s="3058">
        <f t="shared" si="274"/>
        <v>0</v>
      </c>
      <c r="I250" s="3058">
        <f t="shared" si="274"/>
        <v>0</v>
      </c>
      <c r="J250" s="3058">
        <f t="shared" si="274"/>
        <v>0</v>
      </c>
      <c r="K250" s="3059">
        <f t="shared" si="274"/>
        <v>0</v>
      </c>
      <c r="L250" s="3058">
        <f t="shared" si="274"/>
        <v>0</v>
      </c>
      <c r="M250" s="3126">
        <f t="shared" si="274"/>
        <v>0</v>
      </c>
      <c r="N250" s="1675"/>
      <c r="O250" s="1937" t="str">
        <f t="shared" si="224"/>
        <v xml:space="preserve"> </v>
      </c>
      <c r="P250" s="1937" t="str">
        <f t="shared" si="219"/>
        <v xml:space="preserve"> </v>
      </c>
      <c r="Q250" s="723"/>
      <c r="R250" s="1939" t="str">
        <f t="shared" si="220"/>
        <v xml:space="preserve"> </v>
      </c>
      <c r="S250" s="1939" t="str">
        <f t="shared" si="225"/>
        <v xml:space="preserve"> </v>
      </c>
      <c r="T250" s="1937" t="str">
        <f t="shared" si="226"/>
        <v xml:space="preserve"> </v>
      </c>
      <c r="U250" s="1937" t="str">
        <f t="shared" si="212"/>
        <v xml:space="preserve"> </v>
      </c>
      <c r="V250" s="727"/>
    </row>
    <row r="251" spans="1:22" s="728" customFormat="1" ht="18" customHeight="1">
      <c r="A251" s="3159" t="s">
        <v>2454</v>
      </c>
      <c r="B251" s="3044"/>
      <c r="C251" s="3045"/>
      <c r="D251" s="3045"/>
      <c r="E251" s="3045"/>
      <c r="F251" s="3046"/>
      <c r="G251" s="3059">
        <f>'ANGAJ BUGETAR'!E228</f>
        <v>0</v>
      </c>
      <c r="H251" s="3058">
        <f t="shared" ref="H251" si="275">I251+J251</f>
        <v>0</v>
      </c>
      <c r="I251" s="3058">
        <f>'ANGAJAM LEGAL '!D228</f>
        <v>0</v>
      </c>
      <c r="J251" s="3058">
        <f>'ANGAJAM LEGAL '!G228</f>
        <v>0</v>
      </c>
      <c r="K251" s="3059">
        <f>PLATI!E228</f>
        <v>0</v>
      </c>
      <c r="L251" s="3058">
        <f t="shared" ref="L251" si="276">ROUND(H251-K251,1)</f>
        <v>0</v>
      </c>
      <c r="M251" s="3047"/>
      <c r="N251" s="1675"/>
      <c r="O251" s="1937" t="str">
        <f t="shared" si="224"/>
        <v xml:space="preserve"> </v>
      </c>
      <c r="P251" s="1937" t="str">
        <f t="shared" si="219"/>
        <v xml:space="preserve"> </v>
      </c>
      <c r="Q251" s="723"/>
      <c r="R251" s="1939" t="str">
        <f t="shared" si="220"/>
        <v xml:space="preserve"> </v>
      </c>
      <c r="S251" s="1939" t="str">
        <f t="shared" si="225"/>
        <v xml:space="preserve"> </v>
      </c>
      <c r="T251" s="1937" t="str">
        <f t="shared" si="226"/>
        <v xml:space="preserve"> </v>
      </c>
      <c r="U251" s="1937" t="str">
        <f t="shared" si="212"/>
        <v xml:space="preserve"> </v>
      </c>
      <c r="V251" s="727"/>
    </row>
    <row r="252" spans="1:22" s="728" customFormat="1" ht="102">
      <c r="A252" s="3159" t="s">
        <v>2452</v>
      </c>
      <c r="B252" s="3044"/>
      <c r="C252" s="3045"/>
      <c r="D252" s="3045"/>
      <c r="E252" s="3045"/>
      <c r="F252" s="3046"/>
      <c r="G252" s="3059">
        <f>'ANGAJ BUGETAR'!E229</f>
        <v>0</v>
      </c>
      <c r="H252" s="3058">
        <f t="shared" ref="H252" si="277">I252+J252</f>
        <v>0</v>
      </c>
      <c r="I252" s="3058">
        <f>'ANGAJAM LEGAL '!D229</f>
        <v>0</v>
      </c>
      <c r="J252" s="3058">
        <f>'ANGAJAM LEGAL '!G229</f>
        <v>0</v>
      </c>
      <c r="K252" s="3059">
        <f>PLATI!E229</f>
        <v>0</v>
      </c>
      <c r="L252" s="3058">
        <f t="shared" ref="L252" si="278">ROUND(H252-K252,1)</f>
        <v>0</v>
      </c>
      <c r="M252" s="3047"/>
      <c r="N252" s="1675"/>
      <c r="O252" s="1937" t="str">
        <f t="shared" si="224"/>
        <v xml:space="preserve"> </v>
      </c>
      <c r="P252" s="1937" t="str">
        <f t="shared" si="219"/>
        <v xml:space="preserve"> </v>
      </c>
      <c r="Q252" s="723"/>
      <c r="R252" s="1939" t="str">
        <f t="shared" si="220"/>
        <v xml:space="preserve"> </v>
      </c>
      <c r="S252" s="1939" t="str">
        <f t="shared" si="225"/>
        <v xml:space="preserve"> </v>
      </c>
      <c r="T252" s="1937" t="str">
        <f t="shared" si="226"/>
        <v xml:space="preserve"> </v>
      </c>
      <c r="U252" s="1937" t="str">
        <f t="shared" si="212"/>
        <v xml:space="preserve"> </v>
      </c>
      <c r="V252" s="727"/>
    </row>
    <row r="253" spans="1:22" s="728" customFormat="1" ht="36">
      <c r="A253" s="3173" t="s">
        <v>1796</v>
      </c>
      <c r="B253" s="3044"/>
      <c r="C253" s="3058">
        <f>C254+C255</f>
        <v>0</v>
      </c>
      <c r="D253" s="3058">
        <f t="shared" ref="D253:F253" si="279">D254+D255</f>
        <v>0</v>
      </c>
      <c r="E253" s="3058">
        <f t="shared" si="279"/>
        <v>0</v>
      </c>
      <c r="F253" s="3059">
        <f t="shared" si="279"/>
        <v>0</v>
      </c>
      <c r="G253" s="3059">
        <f t="shared" ref="G253:M253" si="280">+G254+G255</f>
        <v>0</v>
      </c>
      <c r="H253" s="3058">
        <f t="shared" si="280"/>
        <v>0</v>
      </c>
      <c r="I253" s="3058">
        <f t="shared" si="280"/>
        <v>0</v>
      </c>
      <c r="J253" s="3058">
        <f t="shared" si="280"/>
        <v>0</v>
      </c>
      <c r="K253" s="3059">
        <f t="shared" si="280"/>
        <v>0</v>
      </c>
      <c r="L253" s="3058">
        <f t="shared" si="280"/>
        <v>0</v>
      </c>
      <c r="M253" s="3126">
        <f t="shared" si="280"/>
        <v>0</v>
      </c>
      <c r="N253" s="1675"/>
      <c r="O253" s="1937" t="str">
        <f t="shared" si="224"/>
        <v xml:space="preserve"> </v>
      </c>
      <c r="P253" s="1937" t="str">
        <f t="shared" si="219"/>
        <v xml:space="preserve"> </v>
      </c>
      <c r="Q253" s="723"/>
      <c r="R253" s="1939" t="str">
        <f t="shared" si="220"/>
        <v xml:space="preserve"> </v>
      </c>
      <c r="S253" s="1939" t="str">
        <f t="shared" si="225"/>
        <v xml:space="preserve"> </v>
      </c>
      <c r="T253" s="1937" t="str">
        <f t="shared" si="226"/>
        <v xml:space="preserve"> </v>
      </c>
      <c r="U253" s="1937" t="str">
        <f t="shared" si="212"/>
        <v xml:space="preserve"> </v>
      </c>
      <c r="V253" s="727"/>
    </row>
    <row r="254" spans="1:22" s="728" customFormat="1">
      <c r="A254" s="3159" t="s">
        <v>2454</v>
      </c>
      <c r="B254" s="3044"/>
      <c r="C254" s="3045"/>
      <c r="D254" s="3045"/>
      <c r="E254" s="3045"/>
      <c r="F254" s="3046"/>
      <c r="G254" s="3059">
        <f>'ANGAJ BUGETAR'!E231</f>
        <v>0</v>
      </c>
      <c r="H254" s="3058">
        <f t="shared" ref="H254" si="281">I254+J254</f>
        <v>0</v>
      </c>
      <c r="I254" s="3058">
        <f>'ANGAJAM LEGAL '!D231</f>
        <v>0</v>
      </c>
      <c r="J254" s="3058">
        <f>'ANGAJAM LEGAL '!G231</f>
        <v>0</v>
      </c>
      <c r="K254" s="3059">
        <f>PLATI!E231</f>
        <v>0</v>
      </c>
      <c r="L254" s="3058">
        <f t="shared" ref="L254" si="282">ROUND(H254-K254,1)</f>
        <v>0</v>
      </c>
      <c r="M254" s="3047"/>
      <c r="N254" s="1675"/>
      <c r="O254" s="1937" t="str">
        <f t="shared" si="224"/>
        <v xml:space="preserve"> </v>
      </c>
      <c r="P254" s="1937" t="str">
        <f t="shared" si="219"/>
        <v xml:space="preserve"> </v>
      </c>
      <c r="Q254" s="723"/>
      <c r="R254" s="1939" t="str">
        <f t="shared" si="220"/>
        <v xml:space="preserve"> </v>
      </c>
      <c r="S254" s="1939" t="str">
        <f t="shared" si="225"/>
        <v xml:space="preserve"> </v>
      </c>
      <c r="T254" s="1937" t="str">
        <f t="shared" si="226"/>
        <v xml:space="preserve"> </v>
      </c>
      <c r="U254" s="1937" t="str">
        <f t="shared" si="212"/>
        <v xml:space="preserve"> </v>
      </c>
      <c r="V254" s="727"/>
    </row>
    <row r="255" spans="1:22" s="728" customFormat="1" ht="102">
      <c r="A255" s="3159" t="s">
        <v>2452</v>
      </c>
      <c r="B255" s="3044"/>
      <c r="C255" s="3045"/>
      <c r="D255" s="3045"/>
      <c r="E255" s="3045"/>
      <c r="F255" s="3046"/>
      <c r="G255" s="3059">
        <f>'ANGAJ BUGETAR'!E232</f>
        <v>0</v>
      </c>
      <c r="H255" s="3058">
        <f t="shared" ref="H255" si="283">I255+J255</f>
        <v>0</v>
      </c>
      <c r="I255" s="3058">
        <f>'ANGAJAM LEGAL '!D232</f>
        <v>0</v>
      </c>
      <c r="J255" s="3058">
        <f>'ANGAJAM LEGAL '!G232</f>
        <v>0</v>
      </c>
      <c r="K255" s="3059">
        <f>PLATI!E232</f>
        <v>0</v>
      </c>
      <c r="L255" s="3058">
        <f t="shared" ref="L255" si="284">ROUND(H255-K255,1)</f>
        <v>0</v>
      </c>
      <c r="M255" s="3047"/>
      <c r="N255" s="1675"/>
      <c r="O255" s="1937" t="str">
        <f t="shared" si="224"/>
        <v xml:space="preserve"> </v>
      </c>
      <c r="P255" s="1937" t="str">
        <f t="shared" si="219"/>
        <v xml:space="preserve"> </v>
      </c>
      <c r="Q255" s="723"/>
      <c r="R255" s="1939" t="str">
        <f t="shared" si="220"/>
        <v xml:space="preserve"> </v>
      </c>
      <c r="S255" s="1939" t="str">
        <f t="shared" si="225"/>
        <v xml:space="preserve"> </v>
      </c>
      <c r="T255" s="1937" t="str">
        <f t="shared" si="226"/>
        <v xml:space="preserve"> </v>
      </c>
      <c r="U255" s="1937" t="str">
        <f t="shared" si="212"/>
        <v xml:space="preserve"> </v>
      </c>
      <c r="V255" s="727"/>
    </row>
    <row r="256" spans="1:22" s="728" customFormat="1" ht="36">
      <c r="A256" s="3173" t="s">
        <v>1565</v>
      </c>
      <c r="B256" s="3044"/>
      <c r="C256" s="3045"/>
      <c r="D256" s="3045"/>
      <c r="E256" s="3045"/>
      <c r="F256" s="3046"/>
      <c r="G256" s="3059">
        <f>'ANGAJ BUGETAR'!E233</f>
        <v>0</v>
      </c>
      <c r="H256" s="3058">
        <f>I256+J256</f>
        <v>0</v>
      </c>
      <c r="I256" s="3058">
        <f>'ANGAJAM LEGAL '!D233</f>
        <v>0</v>
      </c>
      <c r="J256" s="3058">
        <f>'ANGAJAM LEGAL '!G233</f>
        <v>0</v>
      </c>
      <c r="K256" s="3059">
        <f>PLATI!E233</f>
        <v>0</v>
      </c>
      <c r="L256" s="3058">
        <f>ROUND(H256-K256,1)</f>
        <v>0</v>
      </c>
      <c r="M256" s="3047"/>
      <c r="N256" s="1675"/>
      <c r="O256" s="1937" t="str">
        <f t="shared" si="224"/>
        <v xml:space="preserve"> </v>
      </c>
      <c r="P256" s="1937" t="str">
        <f t="shared" si="219"/>
        <v xml:space="preserve"> </v>
      </c>
      <c r="Q256" s="723"/>
      <c r="R256" s="1939" t="str">
        <f t="shared" si="220"/>
        <v xml:space="preserve"> </v>
      </c>
      <c r="S256" s="1939" t="str">
        <f t="shared" si="225"/>
        <v xml:space="preserve"> </v>
      </c>
      <c r="T256" s="1937" t="str">
        <f t="shared" si="226"/>
        <v xml:space="preserve"> </v>
      </c>
      <c r="U256" s="1937" t="str">
        <f t="shared" si="212"/>
        <v xml:space="preserve"> </v>
      </c>
      <c r="V256" s="727"/>
    </row>
    <row r="257" spans="1:22" s="728" customFormat="1" ht="48">
      <c r="A257" s="3173" t="s">
        <v>2294</v>
      </c>
      <c r="B257" s="3044"/>
      <c r="C257" s="3045"/>
      <c r="D257" s="3045"/>
      <c r="E257" s="3045"/>
      <c r="F257" s="3046"/>
      <c r="G257" s="3059">
        <f>'ANGAJ BUGETAR'!E234</f>
        <v>0</v>
      </c>
      <c r="H257" s="3058">
        <f>I257+J257</f>
        <v>0</v>
      </c>
      <c r="I257" s="3058">
        <f>'ANGAJAM LEGAL '!D234</f>
        <v>0</v>
      </c>
      <c r="J257" s="3058">
        <f>'ANGAJAM LEGAL '!G234</f>
        <v>0</v>
      </c>
      <c r="K257" s="3059">
        <f>PLATI!E234</f>
        <v>0</v>
      </c>
      <c r="L257" s="3058">
        <f>ROUND(H257-K257,1)</f>
        <v>0</v>
      </c>
      <c r="M257" s="3047"/>
      <c r="N257" s="1675"/>
      <c r="O257" s="1937" t="str">
        <f t="shared" si="224"/>
        <v xml:space="preserve"> </v>
      </c>
      <c r="P257" s="1937" t="str">
        <f t="shared" si="219"/>
        <v xml:space="preserve"> </v>
      </c>
      <c r="Q257" s="723"/>
      <c r="R257" s="1939" t="str">
        <f t="shared" si="220"/>
        <v xml:space="preserve"> </v>
      </c>
      <c r="S257" s="1939" t="str">
        <f t="shared" si="225"/>
        <v xml:space="preserve"> </v>
      </c>
      <c r="T257" s="1937" t="str">
        <f t="shared" si="226"/>
        <v xml:space="preserve"> </v>
      </c>
      <c r="U257" s="1937" t="str">
        <f t="shared" si="212"/>
        <v xml:space="preserve"> </v>
      </c>
      <c r="V257" s="727"/>
    </row>
    <row r="258" spans="1:22" s="728" customFormat="1" ht="41.45" customHeight="1">
      <c r="A258" s="3209" t="s">
        <v>2571</v>
      </c>
      <c r="B258" s="3187"/>
      <c r="C258" s="3197"/>
      <c r="D258" s="3197"/>
      <c r="E258" s="3197"/>
      <c r="F258" s="3198"/>
      <c r="G258" s="3199">
        <f>'ANGAJ BUGETAR'!E235</f>
        <v>0</v>
      </c>
      <c r="H258" s="3188">
        <f t="shared" ref="H258" si="285">I258+J258</f>
        <v>0</v>
      </c>
      <c r="I258" s="3188">
        <f>'ANGAJAM LEGAL '!D235</f>
        <v>0</v>
      </c>
      <c r="J258" s="3188">
        <f>'ANGAJAM LEGAL '!G235</f>
        <v>0</v>
      </c>
      <c r="K258" s="3199">
        <f>PLATI!E235</f>
        <v>0</v>
      </c>
      <c r="L258" s="3188">
        <f t="shared" ref="L258" si="286">ROUND(H258-K258,1)</f>
        <v>0</v>
      </c>
      <c r="M258" s="3200"/>
      <c r="N258" s="1675"/>
      <c r="O258" s="1937"/>
      <c r="P258" s="1937"/>
      <c r="Q258" s="723"/>
      <c r="R258" s="1939"/>
      <c r="S258" s="1939"/>
      <c r="T258" s="1937"/>
      <c r="U258" s="1937"/>
      <c r="V258" s="727"/>
    </row>
    <row r="259" spans="1:22" s="728" customFormat="1" ht="51.6" customHeight="1">
      <c r="A259" s="3939" t="s">
        <v>1598</v>
      </c>
      <c r="B259" s="2729" t="s">
        <v>849</v>
      </c>
      <c r="C259" s="2726">
        <f t="shared" ref="C259:D259" si="287">+C260+C261+C262+C263</f>
        <v>1480000</v>
      </c>
      <c r="D259" s="2726">
        <f t="shared" si="287"/>
        <v>571000</v>
      </c>
      <c r="E259" s="2726">
        <f>+E260+E261+E262+E263</f>
        <v>1403400</v>
      </c>
      <c r="F259" s="2726">
        <f t="shared" ref="F259:M259" si="288">+F260+F261+F262+F263</f>
        <v>550400</v>
      </c>
      <c r="G259" s="2726">
        <f t="shared" si="288"/>
        <v>1402944</v>
      </c>
      <c r="H259" s="2726">
        <f t="shared" si="288"/>
        <v>1553352</v>
      </c>
      <c r="I259" s="2726">
        <f t="shared" si="288"/>
        <v>73808</v>
      </c>
      <c r="J259" s="2726">
        <f t="shared" si="288"/>
        <v>1479544</v>
      </c>
      <c r="K259" s="2726">
        <f t="shared" si="288"/>
        <v>549650</v>
      </c>
      <c r="L259" s="2726">
        <f t="shared" si="288"/>
        <v>1003702</v>
      </c>
      <c r="M259" s="2728">
        <f t="shared" si="288"/>
        <v>476298</v>
      </c>
      <c r="N259" s="1950"/>
      <c r="O259" s="1937" t="str">
        <f t="shared" si="224"/>
        <v xml:space="preserve"> </v>
      </c>
      <c r="P259" s="1937" t="str">
        <f t="shared" si="219"/>
        <v xml:space="preserve"> </v>
      </c>
      <c r="Q259" s="723"/>
      <c r="R259" s="1939" t="str">
        <f t="shared" si="220"/>
        <v xml:space="preserve"> </v>
      </c>
      <c r="S259" s="1939" t="str">
        <f t="shared" si="225"/>
        <v xml:space="preserve"> </v>
      </c>
      <c r="T259" s="1937" t="str">
        <f t="shared" si="226"/>
        <v xml:space="preserve"> </v>
      </c>
      <c r="U259" s="1937" t="str">
        <f t="shared" si="212"/>
        <v xml:space="preserve"> </v>
      </c>
      <c r="V259" s="727"/>
    </row>
    <row r="260" spans="1:22" s="728" customFormat="1" ht="18" customHeight="1">
      <c r="A260" s="3159" t="s">
        <v>1539</v>
      </c>
      <c r="B260" s="3044"/>
      <c r="C260" s="3045">
        <v>1480000</v>
      </c>
      <c r="D260" s="3045">
        <v>571000</v>
      </c>
      <c r="E260" s="3045">
        <v>1403400</v>
      </c>
      <c r="F260" s="3046">
        <v>550400</v>
      </c>
      <c r="G260" s="3059">
        <f>'ANGAJ BUGETAR'!E237</f>
        <v>1402944</v>
      </c>
      <c r="H260" s="3058">
        <f>I260+J260</f>
        <v>1553352</v>
      </c>
      <c r="I260" s="3058">
        <f>'ANGAJAM LEGAL '!D237</f>
        <v>73808</v>
      </c>
      <c r="J260" s="3058">
        <f>'ANGAJAM LEGAL '!G237</f>
        <v>1479544</v>
      </c>
      <c r="K260" s="3059">
        <f>PLATI!E237</f>
        <v>549650</v>
      </c>
      <c r="L260" s="3058">
        <f>ROUND(H260-K260,1)</f>
        <v>1003702</v>
      </c>
      <c r="M260" s="3047">
        <v>476298</v>
      </c>
      <c r="N260" s="1675"/>
      <c r="O260" s="1937" t="str">
        <f t="shared" si="224"/>
        <v xml:space="preserve"> </v>
      </c>
      <c r="P260" s="1937" t="str">
        <f t="shared" si="219"/>
        <v xml:space="preserve"> </v>
      </c>
      <c r="Q260" s="723"/>
      <c r="R260" s="1939" t="str">
        <f t="shared" si="220"/>
        <v xml:space="preserve"> </v>
      </c>
      <c r="S260" s="1939" t="str">
        <f t="shared" si="225"/>
        <v xml:space="preserve"> </v>
      </c>
      <c r="T260" s="1937" t="str">
        <f t="shared" si="226"/>
        <v xml:space="preserve"> </v>
      </c>
      <c r="U260" s="1937" t="str">
        <f t="shared" si="212"/>
        <v xml:space="preserve"> </v>
      </c>
      <c r="V260" s="727"/>
    </row>
    <row r="261" spans="1:22" s="728" customFormat="1" ht="18" customHeight="1">
      <c r="A261" s="3159" t="s">
        <v>1540</v>
      </c>
      <c r="B261" s="3044"/>
      <c r="C261" s="3045"/>
      <c r="D261" s="3045"/>
      <c r="E261" s="3045"/>
      <c r="F261" s="3046"/>
      <c r="G261" s="3059">
        <f>'ANGAJ BUGETAR'!E238</f>
        <v>0</v>
      </c>
      <c r="H261" s="3058">
        <f>I261+J261</f>
        <v>0</v>
      </c>
      <c r="I261" s="3058">
        <f>'ANGAJAM LEGAL '!D238</f>
        <v>0</v>
      </c>
      <c r="J261" s="3058">
        <f>'ANGAJAM LEGAL '!G238</f>
        <v>0</v>
      </c>
      <c r="K261" s="3059">
        <f>PLATI!E238</f>
        <v>0</v>
      </c>
      <c r="L261" s="3058">
        <f>ROUND(H261-K261,1)</f>
        <v>0</v>
      </c>
      <c r="M261" s="3047"/>
      <c r="N261" s="1675"/>
      <c r="O261" s="1937" t="str">
        <f t="shared" si="224"/>
        <v xml:space="preserve"> </v>
      </c>
      <c r="P261" s="1937" t="str">
        <f t="shared" si="219"/>
        <v xml:space="preserve"> </v>
      </c>
      <c r="Q261" s="723"/>
      <c r="R261" s="1939" t="str">
        <f t="shared" si="220"/>
        <v xml:space="preserve"> </v>
      </c>
      <c r="S261" s="1939" t="str">
        <f t="shared" si="225"/>
        <v xml:space="preserve"> </v>
      </c>
      <c r="T261" s="1937" t="str">
        <f t="shared" si="226"/>
        <v xml:space="preserve"> </v>
      </c>
      <c r="U261" s="1937" t="str">
        <f t="shared" si="212"/>
        <v xml:space="preserve"> </v>
      </c>
      <c r="V261" s="727"/>
    </row>
    <row r="262" spans="1:22" s="957" customFormat="1" ht="48" hidden="1">
      <c r="A262" s="3180" t="s">
        <v>2294</v>
      </c>
      <c r="B262" s="3062"/>
      <c r="C262" s="3053"/>
      <c r="D262" s="3053"/>
      <c r="E262" s="3053"/>
      <c r="F262" s="3054"/>
      <c r="G262" s="3059">
        <f>'ANGAJ BUGETAR'!E239</f>
        <v>0</v>
      </c>
      <c r="H262" s="3058">
        <f>I262+J262</f>
        <v>0</v>
      </c>
      <c r="I262" s="3058">
        <f>'ANGAJAM LEGAL '!D239</f>
        <v>0</v>
      </c>
      <c r="J262" s="3058">
        <f>'ANGAJAM LEGAL '!G239</f>
        <v>0</v>
      </c>
      <c r="K262" s="3059">
        <f>PLATI!E239</f>
        <v>0</v>
      </c>
      <c r="L262" s="3058">
        <f>ROUND(H262-K262,1)</f>
        <v>0</v>
      </c>
      <c r="M262" s="3055">
        <v>0</v>
      </c>
      <c r="N262" s="1952"/>
      <c r="O262" s="1937" t="str">
        <f t="shared" si="224"/>
        <v xml:space="preserve"> </v>
      </c>
      <c r="P262" s="1937" t="str">
        <f t="shared" si="219"/>
        <v xml:space="preserve"> </v>
      </c>
      <c r="Q262" s="723"/>
      <c r="R262" s="1939" t="str">
        <f t="shared" si="220"/>
        <v xml:space="preserve"> </v>
      </c>
      <c r="S262" s="1939" t="str">
        <f t="shared" si="225"/>
        <v xml:space="preserve"> </v>
      </c>
      <c r="T262" s="1937" t="str">
        <f t="shared" si="226"/>
        <v xml:space="preserve"> </v>
      </c>
      <c r="U262" s="1937" t="str">
        <f t="shared" si="212"/>
        <v xml:space="preserve"> </v>
      </c>
      <c r="V262" s="956"/>
    </row>
    <row r="263" spans="1:22" s="957" customFormat="1" ht="102">
      <c r="A263" s="3159" t="s">
        <v>2452</v>
      </c>
      <c r="B263" s="3062"/>
      <c r="C263" s="3053"/>
      <c r="D263" s="3053"/>
      <c r="E263" s="3053"/>
      <c r="F263" s="3054"/>
      <c r="G263" s="3059">
        <f>'ANGAJ BUGETAR'!E240</f>
        <v>0</v>
      </c>
      <c r="H263" s="3058">
        <f t="shared" ref="H263" si="289">I263+J263</f>
        <v>0</v>
      </c>
      <c r="I263" s="3058">
        <f>'ANGAJAM LEGAL '!D240</f>
        <v>0</v>
      </c>
      <c r="J263" s="3058">
        <f>'ANGAJAM LEGAL '!G240</f>
        <v>0</v>
      </c>
      <c r="K263" s="3059">
        <f>PLATI!E240</f>
        <v>0</v>
      </c>
      <c r="L263" s="3058">
        <f t="shared" ref="L263" si="290">ROUND(H263-K263,1)</f>
        <v>0</v>
      </c>
      <c r="M263" s="3055"/>
      <c r="N263" s="1952"/>
      <c r="O263" s="1937" t="str">
        <f t="shared" si="224"/>
        <v xml:space="preserve"> </v>
      </c>
      <c r="P263" s="1937" t="str">
        <f t="shared" si="219"/>
        <v xml:space="preserve"> </v>
      </c>
      <c r="Q263" s="723"/>
      <c r="R263" s="1939" t="str">
        <f t="shared" si="220"/>
        <v xml:space="preserve"> </v>
      </c>
      <c r="S263" s="1939" t="str">
        <f t="shared" si="225"/>
        <v xml:space="preserve"> </v>
      </c>
      <c r="T263" s="1937" t="str">
        <f t="shared" si="226"/>
        <v xml:space="preserve"> </v>
      </c>
      <c r="U263" s="1937" t="str">
        <f t="shared" si="212"/>
        <v xml:space="preserve"> </v>
      </c>
      <c r="V263" s="956"/>
    </row>
    <row r="264" spans="1:22" s="732" customFormat="1" ht="25.5">
      <c r="A264" s="3150" t="s">
        <v>850</v>
      </c>
      <c r="B264" s="3151" t="s">
        <v>851</v>
      </c>
      <c r="C264" s="3060">
        <f t="shared" ref="C264:D264" si="291">C265+C266</f>
        <v>492000</v>
      </c>
      <c r="D264" s="3060">
        <f t="shared" si="291"/>
        <v>192000</v>
      </c>
      <c r="E264" s="3060">
        <f>E265+E266</f>
        <v>490310</v>
      </c>
      <c r="F264" s="3129">
        <f t="shared" ref="F264:M264" si="292">F265+F266</f>
        <v>187310</v>
      </c>
      <c r="G264" s="3129">
        <f t="shared" si="292"/>
        <v>490310</v>
      </c>
      <c r="H264" s="3113">
        <f t="shared" si="292"/>
        <v>524255</v>
      </c>
      <c r="I264" s="3113">
        <f t="shared" si="292"/>
        <v>32255</v>
      </c>
      <c r="J264" s="3113">
        <f t="shared" si="292"/>
        <v>492000</v>
      </c>
      <c r="K264" s="3129">
        <f t="shared" si="292"/>
        <v>187310</v>
      </c>
      <c r="L264" s="3113">
        <f t="shared" si="292"/>
        <v>336945</v>
      </c>
      <c r="M264" s="3114">
        <f t="shared" si="292"/>
        <v>160074</v>
      </c>
      <c r="N264" s="1956"/>
      <c r="O264" s="1937" t="str">
        <f t="shared" si="224"/>
        <v xml:space="preserve"> </v>
      </c>
      <c r="P264" s="1937" t="str">
        <f t="shared" si="219"/>
        <v xml:space="preserve"> </v>
      </c>
      <c r="Q264" s="723"/>
      <c r="R264" s="1939" t="str">
        <f t="shared" si="220"/>
        <v xml:space="preserve"> </v>
      </c>
      <c r="S264" s="1939" t="str">
        <f t="shared" si="225"/>
        <v xml:space="preserve"> </v>
      </c>
      <c r="T264" s="1937" t="str">
        <f t="shared" si="226"/>
        <v xml:space="preserve"> </v>
      </c>
      <c r="U264" s="1937" t="str">
        <f t="shared" si="212"/>
        <v xml:space="preserve"> </v>
      </c>
      <c r="V264" s="731"/>
    </row>
    <row r="265" spans="1:22" s="957" customFormat="1" ht="18" customHeight="1">
      <c r="A265" s="3159" t="s">
        <v>2454</v>
      </c>
      <c r="B265" s="3163"/>
      <c r="C265" s="3053">
        <v>492000</v>
      </c>
      <c r="D265" s="3053">
        <v>192000</v>
      </c>
      <c r="E265" s="3053">
        <v>490310</v>
      </c>
      <c r="F265" s="3054">
        <v>187310</v>
      </c>
      <c r="G265" s="3175">
        <f>'ANGAJ BUGETAR'!E242</f>
        <v>490310</v>
      </c>
      <c r="H265" s="3117">
        <f t="shared" ref="H265" si="293">I265+J265</f>
        <v>524255</v>
      </c>
      <c r="I265" s="3117">
        <f>'ANGAJAM LEGAL '!D242</f>
        <v>32255</v>
      </c>
      <c r="J265" s="3117">
        <f>'ANGAJAM LEGAL '!G242</f>
        <v>492000</v>
      </c>
      <c r="K265" s="3175">
        <f>PLATI!E242</f>
        <v>187310</v>
      </c>
      <c r="L265" s="3117">
        <f t="shared" ref="L265" si="294">ROUND(H265-K265,1)</f>
        <v>336945</v>
      </c>
      <c r="M265" s="3055">
        <v>160074</v>
      </c>
      <c r="N265" s="1952"/>
      <c r="O265" s="1937" t="str">
        <f t="shared" si="224"/>
        <v xml:space="preserve"> </v>
      </c>
      <c r="P265" s="1937" t="str">
        <f t="shared" si="219"/>
        <v xml:space="preserve"> </v>
      </c>
      <c r="Q265" s="723"/>
      <c r="R265" s="1939" t="str">
        <f t="shared" si="220"/>
        <v xml:space="preserve"> </v>
      </c>
      <c r="S265" s="1939" t="str">
        <f t="shared" si="225"/>
        <v xml:space="preserve"> </v>
      </c>
      <c r="T265" s="1937" t="str">
        <f t="shared" si="226"/>
        <v xml:space="preserve"> </v>
      </c>
      <c r="U265" s="1937" t="str">
        <f t="shared" si="212"/>
        <v xml:space="preserve"> </v>
      </c>
      <c r="V265" s="956"/>
    </row>
    <row r="266" spans="1:22" s="957" customFormat="1" ht="102">
      <c r="A266" s="3159" t="s">
        <v>2452</v>
      </c>
      <c r="B266" s="3163"/>
      <c r="C266" s="3053"/>
      <c r="D266" s="3053"/>
      <c r="E266" s="3053"/>
      <c r="F266" s="3054"/>
      <c r="G266" s="3175">
        <f>'ANGAJ BUGETAR'!E243</f>
        <v>0</v>
      </c>
      <c r="H266" s="3117">
        <f t="shared" ref="H266" si="295">I266+J266</f>
        <v>0</v>
      </c>
      <c r="I266" s="3117">
        <f>'ANGAJAM LEGAL '!D243</f>
        <v>0</v>
      </c>
      <c r="J266" s="3117">
        <f>'ANGAJAM LEGAL '!G243</f>
        <v>0</v>
      </c>
      <c r="K266" s="3175">
        <f>PLATI!E243</f>
        <v>0</v>
      </c>
      <c r="L266" s="3117">
        <f t="shared" ref="L266" si="296">ROUND(H266-K266,1)</f>
        <v>0</v>
      </c>
      <c r="M266" s="3055"/>
      <c r="N266" s="1952"/>
      <c r="O266" s="1937" t="str">
        <f t="shared" si="224"/>
        <v xml:space="preserve"> </v>
      </c>
      <c r="P266" s="1937" t="str">
        <f t="shared" si="219"/>
        <v xml:space="preserve"> </v>
      </c>
      <c r="Q266" s="723"/>
      <c r="R266" s="1939" t="str">
        <f t="shared" si="220"/>
        <v xml:space="preserve"> </v>
      </c>
      <c r="S266" s="1939" t="str">
        <f t="shared" si="225"/>
        <v xml:space="preserve"> </v>
      </c>
      <c r="T266" s="1937" t="str">
        <f t="shared" si="226"/>
        <v xml:space="preserve"> </v>
      </c>
      <c r="U266" s="1937" t="str">
        <f t="shared" ref="U266:U300" si="297">IF(L266&lt;0," EROARE"," ")</f>
        <v xml:space="preserve"> </v>
      </c>
      <c r="V266" s="956"/>
    </row>
    <row r="267" spans="1:22" s="732" customFormat="1" ht="25.5">
      <c r="A267" s="3150" t="s">
        <v>852</v>
      </c>
      <c r="B267" s="3151" t="s">
        <v>853</v>
      </c>
      <c r="C267" s="3113">
        <f t="shared" ref="C267:M267" si="298">ROUND(+C268+C285,1)</f>
        <v>108598000</v>
      </c>
      <c r="D267" s="3113">
        <f t="shared" si="298"/>
        <v>77879000</v>
      </c>
      <c r="E267" s="3113">
        <f t="shared" si="298"/>
        <v>81268940</v>
      </c>
      <c r="F267" s="3113">
        <f t="shared" si="298"/>
        <v>47544940</v>
      </c>
      <c r="G267" s="3113">
        <f t="shared" si="298"/>
        <v>81194868</v>
      </c>
      <c r="H267" s="3113">
        <f t="shared" si="298"/>
        <v>111335950</v>
      </c>
      <c r="I267" s="3113">
        <f t="shared" si="298"/>
        <v>8057743</v>
      </c>
      <c r="J267" s="3113">
        <f t="shared" si="298"/>
        <v>103278207</v>
      </c>
      <c r="K267" s="3113">
        <f t="shared" si="298"/>
        <v>47461137</v>
      </c>
      <c r="L267" s="3113">
        <f t="shared" si="298"/>
        <v>63874813</v>
      </c>
      <c r="M267" s="3114">
        <f t="shared" si="298"/>
        <v>39477471</v>
      </c>
      <c r="N267" s="1949"/>
      <c r="O267" s="1937" t="str">
        <f t="shared" si="224"/>
        <v xml:space="preserve"> </v>
      </c>
      <c r="P267" s="1937" t="str">
        <f t="shared" si="219"/>
        <v xml:space="preserve"> </v>
      </c>
      <c r="Q267" s="723"/>
      <c r="R267" s="1939" t="str">
        <f t="shared" si="220"/>
        <v xml:space="preserve"> </v>
      </c>
      <c r="S267" s="1939" t="str">
        <f t="shared" si="225"/>
        <v xml:space="preserve"> </v>
      </c>
      <c r="T267" s="1937" t="str">
        <f t="shared" si="226"/>
        <v xml:space="preserve"> </v>
      </c>
      <c r="U267" s="1937" t="str">
        <f t="shared" si="297"/>
        <v xml:space="preserve"> </v>
      </c>
      <c r="V267" s="731"/>
    </row>
    <row r="268" spans="1:22" s="728" customFormat="1" ht="18" customHeight="1">
      <c r="A268" s="3146" t="s">
        <v>2136</v>
      </c>
      <c r="B268" s="3052" t="s">
        <v>855</v>
      </c>
      <c r="C268" s="3060">
        <f t="shared" ref="C268:D268" si="299">C269+C270+C271+C272+C273+C275+C278+C281+C284</f>
        <v>108598000</v>
      </c>
      <c r="D268" s="3060">
        <f t="shared" si="299"/>
        <v>77879000</v>
      </c>
      <c r="E268" s="3060">
        <f>E269+E270+E271+E272+E273+E275+E278+E281+E284</f>
        <v>81268940</v>
      </c>
      <c r="F268" s="3060">
        <f t="shared" ref="F268:M268" si="300">F269+F270+F271+F272+F273+F275+F278+F281+F284</f>
        <v>47544940</v>
      </c>
      <c r="G268" s="3060">
        <f t="shared" si="300"/>
        <v>81194868</v>
      </c>
      <c r="H268" s="3060">
        <f t="shared" si="300"/>
        <v>111335950</v>
      </c>
      <c r="I268" s="3060">
        <f t="shared" si="300"/>
        <v>8057743</v>
      </c>
      <c r="J268" s="3060">
        <f t="shared" si="300"/>
        <v>103278207</v>
      </c>
      <c r="K268" s="3060">
        <f t="shared" si="300"/>
        <v>47461137</v>
      </c>
      <c r="L268" s="3060">
        <f t="shared" si="300"/>
        <v>63874813</v>
      </c>
      <c r="M268" s="3068">
        <f t="shared" si="300"/>
        <v>39477471</v>
      </c>
      <c r="N268" s="1950"/>
      <c r="O268" s="1937" t="str">
        <f t="shared" si="224"/>
        <v xml:space="preserve"> </v>
      </c>
      <c r="P268" s="1937" t="str">
        <f t="shared" si="219"/>
        <v xml:space="preserve"> </v>
      </c>
      <c r="Q268" s="723"/>
      <c r="R268" s="1939" t="str">
        <f t="shared" si="220"/>
        <v xml:space="preserve"> </v>
      </c>
      <c r="S268" s="1939" t="str">
        <f t="shared" si="225"/>
        <v xml:space="preserve"> </v>
      </c>
      <c r="T268" s="1937" t="str">
        <f t="shared" si="226"/>
        <v xml:space="preserve"> </v>
      </c>
      <c r="U268" s="1937" t="str">
        <f t="shared" si="297"/>
        <v xml:space="preserve"> </v>
      </c>
      <c r="V268" s="727"/>
    </row>
    <row r="269" spans="1:22" s="728" customFormat="1" ht="18" customHeight="1">
      <c r="A269" s="3159" t="s">
        <v>1539</v>
      </c>
      <c r="B269" s="3044"/>
      <c r="C269" s="3045">
        <v>105165000</v>
      </c>
      <c r="D269" s="3045">
        <v>75816000</v>
      </c>
      <c r="E269" s="3045">
        <v>77875590</v>
      </c>
      <c r="F269" s="3046">
        <v>45673590</v>
      </c>
      <c r="G269" s="3059">
        <f>'ANGAJ BUGETAR'!E246</f>
        <v>77823927</v>
      </c>
      <c r="H269" s="3058">
        <f>I269+J269</f>
        <v>107674427</v>
      </c>
      <c r="I269" s="3058">
        <f>'ANGAJAM LEGAL '!D246</f>
        <v>7806811</v>
      </c>
      <c r="J269" s="3058">
        <f>'ANGAJAM LEGAL '!G246</f>
        <v>99867616</v>
      </c>
      <c r="K269" s="3059">
        <f>PLATI!E246</f>
        <v>45619783</v>
      </c>
      <c r="L269" s="3058">
        <f>ROUND(H269-K269,1)</f>
        <v>62054644</v>
      </c>
      <c r="M269" s="3047">
        <v>37864640</v>
      </c>
      <c r="N269" s="1675"/>
      <c r="O269" s="1937" t="str">
        <f t="shared" si="224"/>
        <v xml:space="preserve"> </v>
      </c>
      <c r="P269" s="1937" t="str">
        <f t="shared" ref="P269:P300" si="301">IF(E269&lt;G269," EROARE"," ")</f>
        <v xml:space="preserve"> </v>
      </c>
      <c r="Q269" s="723"/>
      <c r="R269" s="1939" t="str">
        <f t="shared" ref="R269:R300" si="302">IF(C269&lt;J269," EROARE"," ")</f>
        <v xml:space="preserve"> </v>
      </c>
      <c r="S269" s="1939" t="str">
        <f t="shared" si="225"/>
        <v xml:space="preserve"> </v>
      </c>
      <c r="T269" s="1937" t="str">
        <f t="shared" si="226"/>
        <v xml:space="preserve"> </v>
      </c>
      <c r="U269" s="1937" t="str">
        <f t="shared" si="297"/>
        <v xml:space="preserve"> </v>
      </c>
      <c r="V269" s="727"/>
    </row>
    <row r="270" spans="1:22" s="728" customFormat="1" ht="48">
      <c r="A270" s="3173" t="s">
        <v>2294</v>
      </c>
      <c r="B270" s="3044"/>
      <c r="C270" s="3045"/>
      <c r="D270" s="3045"/>
      <c r="E270" s="3045"/>
      <c r="F270" s="3046"/>
      <c r="G270" s="3059">
        <f>'ANGAJ BUGETAR'!E247</f>
        <v>0</v>
      </c>
      <c r="H270" s="3058">
        <f t="shared" ref="H270:H273" si="303">I270+J270</f>
        <v>0</v>
      </c>
      <c r="I270" s="3058">
        <f>'ANGAJAM LEGAL '!D247</f>
        <v>0</v>
      </c>
      <c r="J270" s="3058">
        <f>'ANGAJAM LEGAL '!G247</f>
        <v>0</v>
      </c>
      <c r="K270" s="3059">
        <f>PLATI!E247</f>
        <v>0</v>
      </c>
      <c r="L270" s="3058">
        <f t="shared" ref="L270:L273" si="304">ROUND(H270-K270,1)</f>
        <v>0</v>
      </c>
      <c r="M270" s="3047">
        <v>0</v>
      </c>
      <c r="N270" s="1675"/>
      <c r="O270" s="1937" t="str">
        <f t="shared" si="224"/>
        <v xml:space="preserve"> </v>
      </c>
      <c r="P270" s="1937" t="str">
        <f t="shared" si="301"/>
        <v xml:space="preserve"> </v>
      </c>
      <c r="Q270" s="723"/>
      <c r="R270" s="1939" t="str">
        <f t="shared" si="302"/>
        <v xml:space="preserve"> </v>
      </c>
      <c r="S270" s="1939" t="str">
        <f t="shared" si="225"/>
        <v xml:space="preserve"> </v>
      </c>
      <c r="T270" s="1937" t="str">
        <f t="shared" si="226"/>
        <v xml:space="preserve"> </v>
      </c>
      <c r="U270" s="1937" t="str">
        <f t="shared" si="297"/>
        <v xml:space="preserve"> </v>
      </c>
      <c r="V270" s="727"/>
    </row>
    <row r="271" spans="1:22" s="728" customFormat="1" ht="102">
      <c r="A271" s="3159" t="s">
        <v>2452</v>
      </c>
      <c r="B271" s="3044"/>
      <c r="C271" s="3045"/>
      <c r="D271" s="3045"/>
      <c r="E271" s="3045"/>
      <c r="F271" s="3046"/>
      <c r="G271" s="3059">
        <f>'ANGAJ BUGETAR'!E248</f>
        <v>0</v>
      </c>
      <c r="H271" s="3058">
        <f t="shared" si="303"/>
        <v>0</v>
      </c>
      <c r="I271" s="3058">
        <f>'ANGAJAM LEGAL '!D248</f>
        <v>0</v>
      </c>
      <c r="J271" s="3058">
        <f>'ANGAJAM LEGAL '!G248</f>
        <v>0</v>
      </c>
      <c r="K271" s="3059">
        <f>PLATI!E248</f>
        <v>0</v>
      </c>
      <c r="L271" s="3058">
        <f t="shared" si="304"/>
        <v>0</v>
      </c>
      <c r="M271" s="3047"/>
      <c r="N271" s="1675"/>
      <c r="O271" s="1937" t="str">
        <f t="shared" ref="O271:O300" si="305">IF(F271&lt;K271," EROARE"," ")</f>
        <v xml:space="preserve"> </v>
      </c>
      <c r="P271" s="1937" t="str">
        <f t="shared" si="301"/>
        <v xml:space="preserve"> </v>
      </c>
      <c r="Q271" s="723"/>
      <c r="R271" s="1939" t="str">
        <f t="shared" si="302"/>
        <v xml:space="preserve"> </v>
      </c>
      <c r="S271" s="1939" t="str">
        <f t="shared" ref="S271:S300" si="306">IF(G271&lt;K271," EROARE"," ")</f>
        <v xml:space="preserve"> </v>
      </c>
      <c r="T271" s="1937" t="str">
        <f t="shared" ref="T271:T300" si="307">IF(H271&lt;K271," EROARE"," ")</f>
        <v xml:space="preserve"> </v>
      </c>
      <c r="U271" s="1937" t="str">
        <f t="shared" si="297"/>
        <v xml:space="preserve"> </v>
      </c>
      <c r="V271" s="727"/>
    </row>
    <row r="272" spans="1:22" s="728" customFormat="1" ht="51">
      <c r="A272" s="3159" t="s">
        <v>2455</v>
      </c>
      <c r="B272" s="3044"/>
      <c r="C272" s="3045"/>
      <c r="D272" s="3045"/>
      <c r="E272" s="3045"/>
      <c r="F272" s="3046"/>
      <c r="G272" s="3059">
        <f>'ANGAJ BUGETAR'!E249</f>
        <v>0</v>
      </c>
      <c r="H272" s="3058">
        <f t="shared" si="303"/>
        <v>0</v>
      </c>
      <c r="I272" s="3058">
        <f>'ANGAJAM LEGAL '!D249</f>
        <v>0</v>
      </c>
      <c r="J272" s="3058">
        <f>'ANGAJAM LEGAL '!G249</f>
        <v>0</v>
      </c>
      <c r="K272" s="3059">
        <f>PLATI!E249</f>
        <v>0</v>
      </c>
      <c r="L272" s="3058">
        <f t="shared" si="304"/>
        <v>0</v>
      </c>
      <c r="M272" s="3047"/>
      <c r="N272" s="1675"/>
      <c r="O272" s="1937"/>
      <c r="P272" s="1937"/>
      <c r="Q272" s="723"/>
      <c r="R272" s="1939"/>
      <c r="S272" s="1939"/>
      <c r="T272" s="1937"/>
      <c r="U272" s="1937"/>
      <c r="V272" s="727"/>
    </row>
    <row r="273" spans="1:22" s="728" customFormat="1" ht="25.5">
      <c r="A273" s="3159" t="s">
        <v>2481</v>
      </c>
      <c r="B273" s="3044"/>
      <c r="C273" s="3045">
        <v>3433000</v>
      </c>
      <c r="D273" s="3045">
        <v>2063000</v>
      </c>
      <c r="E273" s="3045">
        <v>3393350</v>
      </c>
      <c r="F273" s="3046">
        <v>1871350</v>
      </c>
      <c r="G273" s="3059">
        <f>'ANGAJ BUGETAR'!E250</f>
        <v>3370941</v>
      </c>
      <c r="H273" s="3058">
        <f t="shared" si="303"/>
        <v>3661523</v>
      </c>
      <c r="I273" s="3058">
        <f>'ANGAJAM LEGAL '!D250</f>
        <v>250932</v>
      </c>
      <c r="J273" s="3058">
        <f>'ANGAJAM LEGAL '!G250</f>
        <v>3410591</v>
      </c>
      <c r="K273" s="3059">
        <f>PLATI!E250</f>
        <v>1841354</v>
      </c>
      <c r="L273" s="3058">
        <f t="shared" si="304"/>
        <v>1820169</v>
      </c>
      <c r="M273" s="3047">
        <v>1612831</v>
      </c>
      <c r="N273" s="1675"/>
      <c r="O273" s="1937"/>
      <c r="P273" s="1937"/>
      <c r="Q273" s="723"/>
      <c r="R273" s="1939"/>
      <c r="S273" s="1939"/>
      <c r="T273" s="1937"/>
      <c r="U273" s="1937"/>
      <c r="V273" s="727"/>
    </row>
    <row r="274" spans="1:22" s="1882" customFormat="1" ht="25.5">
      <c r="A274" s="3178" t="s">
        <v>2296</v>
      </c>
      <c r="B274" s="3163"/>
      <c r="C274" s="3164">
        <f t="shared" ref="C274:D274" si="308">C275+C278+C281+C284</f>
        <v>0</v>
      </c>
      <c r="D274" s="3164">
        <f t="shared" si="308"/>
        <v>0</v>
      </c>
      <c r="E274" s="3164">
        <f>E275+E278+E281+E284</f>
        <v>0</v>
      </c>
      <c r="F274" s="3164">
        <f>F275+F278+F281+F284</f>
        <v>0</v>
      </c>
      <c r="G274" s="3179">
        <f t="shared" ref="G274:M274" si="309">G275+G278+G281+G284</f>
        <v>0</v>
      </c>
      <c r="H274" s="3164">
        <f t="shared" si="309"/>
        <v>0</v>
      </c>
      <c r="I274" s="3164">
        <f t="shared" si="309"/>
        <v>0</v>
      </c>
      <c r="J274" s="3164">
        <f t="shared" si="309"/>
        <v>0</v>
      </c>
      <c r="K274" s="3179">
        <f t="shared" si="309"/>
        <v>0</v>
      </c>
      <c r="L274" s="3164">
        <f t="shared" si="309"/>
        <v>0</v>
      </c>
      <c r="M274" s="3165">
        <f t="shared" si="309"/>
        <v>0</v>
      </c>
      <c r="N274" s="1954"/>
      <c r="O274" s="1937" t="str">
        <f t="shared" si="305"/>
        <v xml:space="preserve"> </v>
      </c>
      <c r="P274" s="1937" t="str">
        <f t="shared" si="301"/>
        <v xml:space="preserve"> </v>
      </c>
      <c r="Q274" s="723"/>
      <c r="R274" s="1939" t="str">
        <f t="shared" si="302"/>
        <v xml:space="preserve"> </v>
      </c>
      <c r="S274" s="1939" t="str">
        <f t="shared" si="306"/>
        <v xml:space="preserve"> </v>
      </c>
      <c r="T274" s="1937" t="str">
        <f t="shared" si="307"/>
        <v xml:space="preserve"> </v>
      </c>
      <c r="U274" s="1937" t="str">
        <f t="shared" si="297"/>
        <v xml:space="preserve"> </v>
      </c>
      <c r="V274" s="1881"/>
    </row>
    <row r="275" spans="1:22" s="728" customFormat="1" ht="76.5">
      <c r="A275" s="3209" t="s">
        <v>1564</v>
      </c>
      <c r="B275" s="3187"/>
      <c r="C275" s="3188">
        <f t="shared" ref="C275:M275" si="310">C276+C277</f>
        <v>0</v>
      </c>
      <c r="D275" s="3188">
        <f t="shared" si="310"/>
        <v>0</v>
      </c>
      <c r="E275" s="3188">
        <f t="shared" si="310"/>
        <v>0</v>
      </c>
      <c r="F275" s="3188">
        <f t="shared" si="310"/>
        <v>0</v>
      </c>
      <c r="G275" s="3199">
        <f t="shared" si="310"/>
        <v>0</v>
      </c>
      <c r="H275" s="3188">
        <f t="shared" si="310"/>
        <v>0</v>
      </c>
      <c r="I275" s="3188">
        <f t="shared" si="310"/>
        <v>0</v>
      </c>
      <c r="J275" s="3188">
        <f t="shared" si="310"/>
        <v>0</v>
      </c>
      <c r="K275" s="3199">
        <f t="shared" si="310"/>
        <v>0</v>
      </c>
      <c r="L275" s="3188">
        <f t="shared" si="310"/>
        <v>0</v>
      </c>
      <c r="M275" s="3190">
        <f t="shared" si="310"/>
        <v>0</v>
      </c>
      <c r="N275" s="1675"/>
      <c r="O275" s="1937" t="str">
        <f t="shared" si="305"/>
        <v xml:space="preserve"> </v>
      </c>
      <c r="P275" s="1937" t="str">
        <f t="shared" si="301"/>
        <v xml:space="preserve"> </v>
      </c>
      <c r="Q275" s="723"/>
      <c r="R275" s="1939" t="str">
        <f t="shared" si="302"/>
        <v xml:space="preserve"> </v>
      </c>
      <c r="S275" s="1939" t="str">
        <f t="shared" si="306"/>
        <v xml:space="preserve"> </v>
      </c>
      <c r="T275" s="1937" t="str">
        <f t="shared" si="307"/>
        <v xml:space="preserve"> </v>
      </c>
      <c r="U275" s="1937" t="str">
        <f t="shared" si="297"/>
        <v xml:space="preserve"> </v>
      </c>
      <c r="V275" s="727"/>
    </row>
    <row r="276" spans="1:22" s="728" customFormat="1" ht="25.9" customHeight="1">
      <c r="A276" s="3899" t="s">
        <v>2454</v>
      </c>
      <c r="B276" s="3912"/>
      <c r="C276" s="3913"/>
      <c r="D276" s="3913"/>
      <c r="E276" s="3913"/>
      <c r="F276" s="3943"/>
      <c r="G276" s="3944">
        <f>'ANGAJ BUGETAR'!E253</f>
        <v>0</v>
      </c>
      <c r="H276" s="3945">
        <f t="shared" ref="H276:H277" si="311">I276+J276</f>
        <v>0</v>
      </c>
      <c r="I276" s="3945">
        <f>'ANGAJAM LEGAL '!D253</f>
        <v>0</v>
      </c>
      <c r="J276" s="3945">
        <f>'ANGAJAM LEGAL '!G253</f>
        <v>0</v>
      </c>
      <c r="K276" s="3944">
        <f>PLATI!E253</f>
        <v>0</v>
      </c>
      <c r="L276" s="3945">
        <f t="shared" ref="L276:L277" si="312">ROUND(H276-K276,1)</f>
        <v>0</v>
      </c>
      <c r="M276" s="3914"/>
      <c r="N276" s="1675"/>
      <c r="O276" s="1937" t="str">
        <f t="shared" si="305"/>
        <v xml:space="preserve"> </v>
      </c>
      <c r="P276" s="1937" t="str">
        <f t="shared" si="301"/>
        <v xml:space="preserve"> </v>
      </c>
      <c r="Q276" s="723"/>
      <c r="R276" s="1939" t="str">
        <f t="shared" si="302"/>
        <v xml:space="preserve"> </v>
      </c>
      <c r="S276" s="1939" t="str">
        <f t="shared" si="306"/>
        <v xml:space="preserve"> </v>
      </c>
      <c r="T276" s="1937" t="str">
        <f t="shared" si="307"/>
        <v xml:space="preserve"> </v>
      </c>
      <c r="U276" s="1937" t="str">
        <f t="shared" si="297"/>
        <v xml:space="preserve"> </v>
      </c>
      <c r="V276" s="727"/>
    </row>
    <row r="277" spans="1:22" s="728" customFormat="1" ht="135.6" customHeight="1">
      <c r="A277" s="3159" t="s">
        <v>2452</v>
      </c>
      <c r="B277" s="3044"/>
      <c r="C277" s="3045"/>
      <c r="D277" s="3045"/>
      <c r="E277" s="3045"/>
      <c r="F277" s="3046"/>
      <c r="G277" s="3059">
        <f>'ANGAJ BUGETAR'!E254</f>
        <v>0</v>
      </c>
      <c r="H277" s="3058">
        <f t="shared" si="311"/>
        <v>0</v>
      </c>
      <c r="I277" s="3058">
        <f>'ANGAJAM LEGAL '!D254</f>
        <v>0</v>
      </c>
      <c r="J277" s="3058">
        <f>'ANGAJAM LEGAL '!G254</f>
        <v>0</v>
      </c>
      <c r="K277" s="3059">
        <f>PLATI!E254</f>
        <v>0</v>
      </c>
      <c r="L277" s="3058">
        <f t="shared" si="312"/>
        <v>0</v>
      </c>
      <c r="M277" s="3047"/>
      <c r="N277" s="1675"/>
      <c r="O277" s="1937" t="str">
        <f t="shared" si="305"/>
        <v xml:space="preserve"> </v>
      </c>
      <c r="P277" s="1937" t="str">
        <f t="shared" si="301"/>
        <v xml:space="preserve"> </v>
      </c>
      <c r="Q277" s="723"/>
      <c r="R277" s="1939" t="str">
        <f t="shared" si="302"/>
        <v xml:space="preserve"> </v>
      </c>
      <c r="S277" s="1939" t="str">
        <f t="shared" si="306"/>
        <v xml:space="preserve"> </v>
      </c>
      <c r="T277" s="1937" t="str">
        <f t="shared" si="307"/>
        <v xml:space="preserve"> </v>
      </c>
      <c r="U277" s="1937" t="str">
        <f t="shared" si="297"/>
        <v xml:space="preserve"> </v>
      </c>
      <c r="V277" s="727"/>
    </row>
    <row r="278" spans="1:22" s="957" customFormat="1" ht="36">
      <c r="A278" s="3181" t="s">
        <v>1797</v>
      </c>
      <c r="B278" s="3062"/>
      <c r="C278" s="3117">
        <f>C279+C280</f>
        <v>0</v>
      </c>
      <c r="D278" s="3117">
        <f t="shared" ref="D278:J278" si="313">D279+D280</f>
        <v>0</v>
      </c>
      <c r="E278" s="3117">
        <f t="shared" si="313"/>
        <v>0</v>
      </c>
      <c r="F278" s="3117">
        <f t="shared" si="313"/>
        <v>0</v>
      </c>
      <c r="G278" s="3117">
        <f t="shared" si="313"/>
        <v>0</v>
      </c>
      <c r="H278" s="3117">
        <f t="shared" si="313"/>
        <v>0</v>
      </c>
      <c r="I278" s="3117">
        <f t="shared" si="313"/>
        <v>0</v>
      </c>
      <c r="J278" s="3117">
        <f t="shared" si="313"/>
        <v>0</v>
      </c>
      <c r="K278" s="3175">
        <f>PLATI!E255</f>
        <v>0</v>
      </c>
      <c r="L278" s="3117">
        <f>ROUND(H278-K278,1)</f>
        <v>0</v>
      </c>
      <c r="M278" s="3161">
        <f>M279+M280</f>
        <v>0</v>
      </c>
      <c r="N278" s="1952"/>
      <c r="O278" s="1937" t="str">
        <f t="shared" si="305"/>
        <v xml:space="preserve"> </v>
      </c>
      <c r="P278" s="1937" t="str">
        <f t="shared" si="301"/>
        <v xml:space="preserve"> </v>
      </c>
      <c r="Q278" s="723"/>
      <c r="R278" s="1939" t="str">
        <f t="shared" si="302"/>
        <v xml:space="preserve"> </v>
      </c>
      <c r="S278" s="1939" t="str">
        <f t="shared" si="306"/>
        <v xml:space="preserve"> </v>
      </c>
      <c r="T278" s="1937" t="str">
        <f t="shared" si="307"/>
        <v xml:space="preserve"> </v>
      </c>
      <c r="U278" s="1937" t="str">
        <f t="shared" si="297"/>
        <v xml:space="preserve"> </v>
      </c>
      <c r="V278" s="956"/>
    </row>
    <row r="279" spans="1:22" s="957" customFormat="1">
      <c r="A279" s="3173" t="s">
        <v>2454</v>
      </c>
      <c r="B279" s="3062"/>
      <c r="C279" s="3053"/>
      <c r="D279" s="3053"/>
      <c r="E279" s="3053"/>
      <c r="F279" s="3053"/>
      <c r="G279" s="3175">
        <f>'ANGAJ BUGETAR'!E256</f>
        <v>0</v>
      </c>
      <c r="H279" s="3117">
        <f t="shared" ref="H279:H280" si="314">I279+J279</f>
        <v>0</v>
      </c>
      <c r="I279" s="3117">
        <f>'ANGAJAM LEGAL '!D256</f>
        <v>0</v>
      </c>
      <c r="J279" s="3117">
        <f>'ANGAJAM LEGAL '!G256</f>
        <v>0</v>
      </c>
      <c r="K279" s="3175">
        <f>PLATI!E256</f>
        <v>0</v>
      </c>
      <c r="L279" s="3117">
        <f t="shared" ref="L279:L280" si="315">ROUND(H279-K279,1)</f>
        <v>0</v>
      </c>
      <c r="M279" s="3055"/>
      <c r="N279" s="1952"/>
      <c r="O279" s="1937" t="str">
        <f t="shared" si="305"/>
        <v xml:space="preserve"> </v>
      </c>
      <c r="P279" s="1937" t="str">
        <f t="shared" si="301"/>
        <v xml:space="preserve"> </v>
      </c>
      <c r="Q279" s="723"/>
      <c r="R279" s="1939" t="str">
        <f t="shared" si="302"/>
        <v xml:space="preserve"> </v>
      </c>
      <c r="S279" s="1939" t="str">
        <f t="shared" si="306"/>
        <v xml:space="preserve"> </v>
      </c>
      <c r="T279" s="1937" t="str">
        <f t="shared" si="307"/>
        <v xml:space="preserve"> </v>
      </c>
      <c r="U279" s="1937" t="str">
        <f t="shared" si="297"/>
        <v xml:space="preserve"> </v>
      </c>
      <c r="V279" s="956"/>
    </row>
    <row r="280" spans="1:22" s="957" customFormat="1" ht="96">
      <c r="A280" s="3173" t="s">
        <v>2452</v>
      </c>
      <c r="B280" s="3062"/>
      <c r="C280" s="3053"/>
      <c r="D280" s="3053"/>
      <c r="E280" s="3053"/>
      <c r="F280" s="3053"/>
      <c r="G280" s="3175">
        <f>'ANGAJ BUGETAR'!E257</f>
        <v>0</v>
      </c>
      <c r="H280" s="3117">
        <f t="shared" si="314"/>
        <v>0</v>
      </c>
      <c r="I280" s="3117">
        <f>'ANGAJAM LEGAL '!D257</f>
        <v>0</v>
      </c>
      <c r="J280" s="3117">
        <f>'ANGAJAM LEGAL '!G257</f>
        <v>0</v>
      </c>
      <c r="K280" s="3175">
        <f>PLATI!E257</f>
        <v>0</v>
      </c>
      <c r="L280" s="3117">
        <f t="shared" si="315"/>
        <v>0</v>
      </c>
      <c r="M280" s="3055"/>
      <c r="N280" s="1952"/>
      <c r="O280" s="1937" t="str">
        <f t="shared" si="305"/>
        <v xml:space="preserve"> </v>
      </c>
      <c r="P280" s="1937" t="str">
        <f t="shared" si="301"/>
        <v xml:space="preserve"> </v>
      </c>
      <c r="Q280" s="723"/>
      <c r="R280" s="1939" t="str">
        <f t="shared" si="302"/>
        <v xml:space="preserve"> </v>
      </c>
      <c r="S280" s="1939" t="str">
        <f t="shared" si="306"/>
        <v xml:space="preserve"> </v>
      </c>
      <c r="T280" s="1937" t="str">
        <f t="shared" si="307"/>
        <v xml:space="preserve"> </v>
      </c>
      <c r="U280" s="1937" t="str">
        <f t="shared" si="297"/>
        <v xml:space="preserve"> </v>
      </c>
      <c r="V280" s="956"/>
    </row>
    <row r="281" spans="1:22" s="957" customFormat="1" ht="24">
      <c r="A281" s="3182" t="s">
        <v>1801</v>
      </c>
      <c r="B281" s="3062"/>
      <c r="C281" s="3117">
        <f>C282+C283</f>
        <v>0</v>
      </c>
      <c r="D281" s="3117">
        <f t="shared" ref="D281:F281" si="316">D282+D283</f>
        <v>0</v>
      </c>
      <c r="E281" s="3117">
        <f t="shared" si="316"/>
        <v>0</v>
      </c>
      <c r="F281" s="3117">
        <f t="shared" si="316"/>
        <v>0</v>
      </c>
      <c r="G281" s="3175">
        <f t="shared" ref="G281:M281" si="317">G282+G283</f>
        <v>0</v>
      </c>
      <c r="H281" s="3117">
        <f t="shared" si="317"/>
        <v>0</v>
      </c>
      <c r="I281" s="3117">
        <f t="shared" si="317"/>
        <v>0</v>
      </c>
      <c r="J281" s="3117">
        <f t="shared" si="317"/>
        <v>0</v>
      </c>
      <c r="K281" s="3175">
        <f t="shared" si="317"/>
        <v>0</v>
      </c>
      <c r="L281" s="3117">
        <f t="shared" si="317"/>
        <v>0</v>
      </c>
      <c r="M281" s="3161">
        <f t="shared" si="317"/>
        <v>0</v>
      </c>
      <c r="N281" s="1952"/>
      <c r="O281" s="1937" t="str">
        <f t="shared" si="305"/>
        <v xml:space="preserve"> </v>
      </c>
      <c r="P281" s="1937" t="str">
        <f t="shared" si="301"/>
        <v xml:space="preserve"> </v>
      </c>
      <c r="Q281" s="723"/>
      <c r="R281" s="1939" t="str">
        <f t="shared" si="302"/>
        <v xml:space="preserve"> </v>
      </c>
      <c r="S281" s="1939" t="str">
        <f t="shared" si="306"/>
        <v xml:space="preserve"> </v>
      </c>
      <c r="T281" s="1937" t="str">
        <f t="shared" si="307"/>
        <v xml:space="preserve"> </v>
      </c>
      <c r="U281" s="1937" t="str">
        <f t="shared" si="297"/>
        <v xml:space="preserve"> </v>
      </c>
      <c r="V281" s="956"/>
    </row>
    <row r="282" spans="1:22" s="957" customFormat="1" ht="18" customHeight="1">
      <c r="A282" s="3159" t="s">
        <v>2454</v>
      </c>
      <c r="B282" s="3062"/>
      <c r="C282" s="3053"/>
      <c r="D282" s="3053"/>
      <c r="E282" s="3053"/>
      <c r="F282" s="3053"/>
      <c r="G282" s="3175">
        <f>'ANGAJ BUGETAR'!E259</f>
        <v>0</v>
      </c>
      <c r="H282" s="3117">
        <f t="shared" ref="H282:H284" si="318">I282+J282</f>
        <v>0</v>
      </c>
      <c r="I282" s="3117">
        <f>'ANGAJAM LEGAL '!D259</f>
        <v>0</v>
      </c>
      <c r="J282" s="3117">
        <f>'ANGAJAM LEGAL '!G259</f>
        <v>0</v>
      </c>
      <c r="K282" s="3175">
        <f>PLATI!E259</f>
        <v>0</v>
      </c>
      <c r="L282" s="3117">
        <f t="shared" ref="L282:L284" si="319">ROUND(H282-K282,1)</f>
        <v>0</v>
      </c>
      <c r="M282" s="3055"/>
      <c r="N282" s="1952"/>
      <c r="O282" s="1937" t="str">
        <f t="shared" si="305"/>
        <v xml:space="preserve"> </v>
      </c>
      <c r="P282" s="1937" t="str">
        <f t="shared" si="301"/>
        <v xml:space="preserve"> </v>
      </c>
      <c r="Q282" s="723"/>
      <c r="R282" s="1939" t="str">
        <f t="shared" si="302"/>
        <v xml:space="preserve"> </v>
      </c>
      <c r="S282" s="1939" t="str">
        <f t="shared" si="306"/>
        <v xml:space="preserve"> </v>
      </c>
      <c r="T282" s="1937" t="str">
        <f t="shared" si="307"/>
        <v xml:space="preserve"> </v>
      </c>
      <c r="U282" s="1937" t="str">
        <f t="shared" si="297"/>
        <v xml:space="preserve"> </v>
      </c>
      <c r="V282" s="956"/>
    </row>
    <row r="283" spans="1:22" s="957" customFormat="1" ht="129" customHeight="1">
      <c r="A283" s="3159" t="s">
        <v>2452</v>
      </c>
      <c r="B283" s="3062"/>
      <c r="C283" s="3053"/>
      <c r="D283" s="3053"/>
      <c r="E283" s="3053"/>
      <c r="F283" s="3053"/>
      <c r="G283" s="3175">
        <f>'ANGAJ BUGETAR'!E260</f>
        <v>0</v>
      </c>
      <c r="H283" s="3117">
        <f t="shared" si="318"/>
        <v>0</v>
      </c>
      <c r="I283" s="3117">
        <f>'ANGAJAM LEGAL '!D260</f>
        <v>0</v>
      </c>
      <c r="J283" s="3117">
        <f>'ANGAJAM LEGAL '!G260</f>
        <v>0</v>
      </c>
      <c r="K283" s="3175">
        <f>PLATI!E260</f>
        <v>0</v>
      </c>
      <c r="L283" s="3117">
        <f t="shared" si="319"/>
        <v>0</v>
      </c>
      <c r="M283" s="3055"/>
      <c r="N283" s="1952"/>
      <c r="O283" s="1937" t="str">
        <f t="shared" si="305"/>
        <v xml:space="preserve"> </v>
      </c>
      <c r="P283" s="1937" t="str">
        <f t="shared" si="301"/>
        <v xml:space="preserve"> </v>
      </c>
      <c r="Q283" s="723"/>
      <c r="R283" s="1939" t="str">
        <f t="shared" si="302"/>
        <v xml:space="preserve"> </v>
      </c>
      <c r="S283" s="1939" t="str">
        <f t="shared" si="306"/>
        <v xml:space="preserve"> </v>
      </c>
      <c r="T283" s="1937" t="str">
        <f t="shared" si="307"/>
        <v xml:space="preserve"> </v>
      </c>
      <c r="U283" s="1937" t="str">
        <f t="shared" si="297"/>
        <v xml:space="preserve"> </v>
      </c>
      <c r="V283" s="956"/>
    </row>
    <row r="284" spans="1:22" s="957" customFormat="1">
      <c r="A284" s="3159" t="s">
        <v>2572</v>
      </c>
      <c r="B284" s="3062"/>
      <c r="C284" s="3053"/>
      <c r="D284" s="3053"/>
      <c r="E284" s="3053"/>
      <c r="F284" s="3053"/>
      <c r="G284" s="3175">
        <f>'ANGAJ BUGETAR'!E261</f>
        <v>0</v>
      </c>
      <c r="H284" s="3117">
        <f t="shared" si="318"/>
        <v>0</v>
      </c>
      <c r="I284" s="3117">
        <f>'ANGAJAM LEGAL '!D261</f>
        <v>0</v>
      </c>
      <c r="J284" s="3117">
        <f>'ANGAJAM LEGAL '!G261</f>
        <v>0</v>
      </c>
      <c r="K284" s="3175">
        <f>PLATI!E261</f>
        <v>0</v>
      </c>
      <c r="L284" s="3117">
        <f t="shared" si="319"/>
        <v>0</v>
      </c>
      <c r="M284" s="3055"/>
      <c r="N284" s="1952"/>
      <c r="O284" s="1937"/>
      <c r="P284" s="1937"/>
      <c r="Q284" s="723"/>
      <c r="R284" s="1939"/>
      <c r="S284" s="1939"/>
      <c r="T284" s="1937"/>
      <c r="U284" s="1937"/>
      <c r="V284" s="956"/>
    </row>
    <row r="285" spans="1:22" s="734" customFormat="1" ht="25.5">
      <c r="A285" s="3146" t="s">
        <v>1599</v>
      </c>
      <c r="B285" s="3052" t="s">
        <v>857</v>
      </c>
      <c r="C285" s="3060">
        <f>C286+C287+C288+C289</f>
        <v>0</v>
      </c>
      <c r="D285" s="3060">
        <f t="shared" ref="D285:M285" si="320">D286+D287+D288+D289</f>
        <v>0</v>
      </c>
      <c r="E285" s="3060">
        <f t="shared" si="320"/>
        <v>0</v>
      </c>
      <c r="F285" s="3060">
        <f t="shared" si="320"/>
        <v>0</v>
      </c>
      <c r="G285" s="3060">
        <f t="shared" si="320"/>
        <v>0</v>
      </c>
      <c r="H285" s="3060">
        <f t="shared" si="320"/>
        <v>0</v>
      </c>
      <c r="I285" s="3060">
        <f t="shared" si="320"/>
        <v>0</v>
      </c>
      <c r="J285" s="3060">
        <f t="shared" si="320"/>
        <v>0</v>
      </c>
      <c r="K285" s="3060">
        <f t="shared" si="320"/>
        <v>0</v>
      </c>
      <c r="L285" s="3060">
        <f t="shared" si="320"/>
        <v>0</v>
      </c>
      <c r="M285" s="3068">
        <f t="shared" si="320"/>
        <v>0</v>
      </c>
      <c r="N285" s="1950"/>
      <c r="O285" s="1937" t="str">
        <f t="shared" si="305"/>
        <v xml:space="preserve"> </v>
      </c>
      <c r="P285" s="1937" t="str">
        <f t="shared" si="301"/>
        <v xml:space="preserve"> </v>
      </c>
      <c r="Q285" s="723"/>
      <c r="R285" s="1939" t="str">
        <f t="shared" si="302"/>
        <v xml:space="preserve"> </v>
      </c>
      <c r="S285" s="1939" t="str">
        <f t="shared" si="306"/>
        <v xml:space="preserve"> </v>
      </c>
      <c r="T285" s="1937" t="str">
        <f t="shared" si="307"/>
        <v xml:space="preserve"> </v>
      </c>
      <c r="U285" s="1937" t="str">
        <f t="shared" si="297"/>
        <v xml:space="preserve"> </v>
      </c>
      <c r="V285" s="733"/>
    </row>
    <row r="286" spans="1:22" s="728" customFormat="1" ht="18" customHeight="1">
      <c r="A286" s="3159" t="s">
        <v>1539</v>
      </c>
      <c r="B286" s="3044"/>
      <c r="C286" s="3045"/>
      <c r="D286" s="3045"/>
      <c r="E286" s="3045"/>
      <c r="F286" s="3046"/>
      <c r="G286" s="3059">
        <f>'ANGAJ BUGETAR'!E263</f>
        <v>0</v>
      </c>
      <c r="H286" s="3058">
        <f t="shared" ref="H286:H291" si="321">I286+J286</f>
        <v>0</v>
      </c>
      <c r="I286" s="3058">
        <f>'ANGAJAM LEGAL '!D263</f>
        <v>0</v>
      </c>
      <c r="J286" s="3058">
        <f>'ANGAJAM LEGAL '!G263</f>
        <v>0</v>
      </c>
      <c r="K286" s="3059">
        <f>PLATI!E263</f>
        <v>0</v>
      </c>
      <c r="L286" s="3058">
        <f t="shared" ref="L286:L291" si="322">ROUND(H286-K286,1)</f>
        <v>0</v>
      </c>
      <c r="M286" s="3047"/>
      <c r="N286" s="1675"/>
      <c r="O286" s="1937" t="str">
        <f t="shared" si="305"/>
        <v xml:space="preserve"> </v>
      </c>
      <c r="P286" s="1937" t="str">
        <f t="shared" si="301"/>
        <v xml:space="preserve"> </v>
      </c>
      <c r="Q286" s="723"/>
      <c r="R286" s="1939" t="str">
        <f t="shared" si="302"/>
        <v xml:space="preserve"> </v>
      </c>
      <c r="S286" s="1939" t="str">
        <f t="shared" si="306"/>
        <v xml:space="preserve"> </v>
      </c>
      <c r="T286" s="1937" t="str">
        <f t="shared" si="307"/>
        <v xml:space="preserve"> </v>
      </c>
      <c r="U286" s="1937" t="str">
        <f t="shared" si="297"/>
        <v xml:space="preserve"> </v>
      </c>
      <c r="V286" s="727"/>
    </row>
    <row r="287" spans="1:22" s="728" customFormat="1" ht="18" customHeight="1">
      <c r="A287" s="3159" t="s">
        <v>1540</v>
      </c>
      <c r="B287" s="3044"/>
      <c r="C287" s="3045"/>
      <c r="D287" s="3045"/>
      <c r="E287" s="3045"/>
      <c r="F287" s="3046"/>
      <c r="G287" s="3059">
        <f>'ANGAJ BUGETAR'!E264</f>
        <v>0</v>
      </c>
      <c r="H287" s="3058">
        <f t="shared" si="321"/>
        <v>0</v>
      </c>
      <c r="I287" s="3058">
        <f>'ANGAJAM LEGAL '!D264</f>
        <v>0</v>
      </c>
      <c r="J287" s="3058">
        <f>'ANGAJAM LEGAL '!G264</f>
        <v>0</v>
      </c>
      <c r="K287" s="3059">
        <f>PLATI!E264</f>
        <v>0</v>
      </c>
      <c r="L287" s="3058">
        <f t="shared" si="322"/>
        <v>0</v>
      </c>
      <c r="M287" s="3047"/>
      <c r="N287" s="1675"/>
      <c r="O287" s="1937" t="str">
        <f t="shared" si="305"/>
        <v xml:space="preserve"> </v>
      </c>
      <c r="P287" s="1937" t="str">
        <f t="shared" si="301"/>
        <v xml:space="preserve"> </v>
      </c>
      <c r="Q287" s="723"/>
      <c r="R287" s="1939" t="str">
        <f t="shared" si="302"/>
        <v xml:space="preserve"> </v>
      </c>
      <c r="S287" s="1939" t="str">
        <f t="shared" si="306"/>
        <v xml:space="preserve"> </v>
      </c>
      <c r="T287" s="1937" t="str">
        <f t="shared" si="307"/>
        <v xml:space="preserve"> </v>
      </c>
      <c r="U287" s="1937" t="str">
        <f t="shared" si="297"/>
        <v xml:space="preserve"> </v>
      </c>
      <c r="V287" s="727"/>
    </row>
    <row r="288" spans="1:22" s="728" customFormat="1" ht="131.44999999999999" customHeight="1">
      <c r="A288" s="3159" t="s">
        <v>2452</v>
      </c>
      <c r="B288" s="3044"/>
      <c r="C288" s="3045"/>
      <c r="D288" s="3045"/>
      <c r="E288" s="3045"/>
      <c r="F288" s="3046"/>
      <c r="G288" s="3059">
        <f>'ANGAJ BUGETAR'!E265</f>
        <v>0</v>
      </c>
      <c r="H288" s="3058">
        <f t="shared" si="321"/>
        <v>0</v>
      </c>
      <c r="I288" s="3058">
        <f>'ANGAJAM LEGAL '!D265</f>
        <v>0</v>
      </c>
      <c r="J288" s="3058">
        <f>'ANGAJAM LEGAL '!G265</f>
        <v>0</v>
      </c>
      <c r="K288" s="3059">
        <f>PLATI!E265</f>
        <v>0</v>
      </c>
      <c r="L288" s="3058">
        <f t="shared" si="322"/>
        <v>0</v>
      </c>
      <c r="M288" s="3047"/>
      <c r="N288" s="1675"/>
      <c r="O288" s="1937" t="str">
        <f t="shared" si="305"/>
        <v xml:space="preserve"> </v>
      </c>
      <c r="P288" s="1937" t="str">
        <f t="shared" si="301"/>
        <v xml:space="preserve"> </v>
      </c>
      <c r="Q288" s="723"/>
      <c r="R288" s="1939" t="str">
        <f t="shared" si="302"/>
        <v xml:space="preserve"> </v>
      </c>
      <c r="S288" s="1939" t="str">
        <f t="shared" si="306"/>
        <v xml:space="preserve"> </v>
      </c>
      <c r="T288" s="1937" t="str">
        <f t="shared" si="307"/>
        <v xml:space="preserve"> </v>
      </c>
      <c r="U288" s="1937" t="str">
        <f t="shared" si="297"/>
        <v xml:space="preserve"> </v>
      </c>
      <c r="V288" s="727"/>
    </row>
    <row r="289" spans="1:22" s="728" customFormat="1" ht="50.45" customHeight="1">
      <c r="A289" s="3209" t="s">
        <v>2481</v>
      </c>
      <c r="B289" s="3187"/>
      <c r="C289" s="3197"/>
      <c r="D289" s="3197"/>
      <c r="E289" s="3197"/>
      <c r="F289" s="3198"/>
      <c r="G289" s="3199">
        <f>'ANGAJ BUGETAR'!E266</f>
        <v>0</v>
      </c>
      <c r="H289" s="3188">
        <f t="shared" si="321"/>
        <v>0</v>
      </c>
      <c r="I289" s="3188">
        <f>'ANGAJAM LEGAL '!D266</f>
        <v>0</v>
      </c>
      <c r="J289" s="3188">
        <f>'ANGAJAM LEGAL '!G266</f>
        <v>0</v>
      </c>
      <c r="K289" s="3199">
        <f>PLATI!E266</f>
        <v>0</v>
      </c>
      <c r="L289" s="3188">
        <f t="shared" si="322"/>
        <v>0</v>
      </c>
      <c r="M289" s="3200"/>
      <c r="N289" s="1675"/>
      <c r="O289" s="1937" t="str">
        <f t="shared" si="305"/>
        <v xml:space="preserve"> </v>
      </c>
      <c r="P289" s="1937" t="str">
        <f t="shared" si="301"/>
        <v xml:space="preserve"> </v>
      </c>
      <c r="Q289" s="723"/>
      <c r="R289" s="1939" t="str">
        <f t="shared" si="302"/>
        <v xml:space="preserve"> </v>
      </c>
      <c r="S289" s="1939" t="str">
        <f t="shared" si="306"/>
        <v xml:space="preserve"> </v>
      </c>
      <c r="T289" s="1937" t="str">
        <f t="shared" si="307"/>
        <v xml:space="preserve"> </v>
      </c>
      <c r="U289" s="1937" t="str">
        <f t="shared" si="297"/>
        <v xml:space="preserve"> </v>
      </c>
      <c r="V289" s="727"/>
    </row>
    <row r="290" spans="1:22" s="734" customFormat="1" ht="27" customHeight="1">
      <c r="A290" s="3940" t="s">
        <v>858</v>
      </c>
      <c r="B290" s="2730" t="s">
        <v>859</v>
      </c>
      <c r="C290" s="3212">
        <v>107000</v>
      </c>
      <c r="D290" s="3212">
        <v>60000</v>
      </c>
      <c r="E290" s="3212">
        <v>107000</v>
      </c>
      <c r="F290" s="3213">
        <v>53000</v>
      </c>
      <c r="G290" s="2727">
        <f>'ANGAJ BUGETAR'!E267</f>
        <v>107000</v>
      </c>
      <c r="H290" s="2726">
        <f t="shared" si="321"/>
        <v>115117</v>
      </c>
      <c r="I290" s="2726">
        <f>'ANGAJAM LEGAL '!D267</f>
        <v>8117</v>
      </c>
      <c r="J290" s="2726">
        <f>'ANGAJAM LEGAL '!G267</f>
        <v>107000</v>
      </c>
      <c r="K290" s="2731">
        <f>PLATI!E267</f>
        <v>50999</v>
      </c>
      <c r="L290" s="2726">
        <f t="shared" si="322"/>
        <v>64118</v>
      </c>
      <c r="M290" s="3214">
        <v>42882</v>
      </c>
      <c r="N290" s="1951"/>
      <c r="O290" s="1937" t="str">
        <f t="shared" si="305"/>
        <v xml:space="preserve"> </v>
      </c>
      <c r="P290" s="1937" t="str">
        <f t="shared" si="301"/>
        <v xml:space="preserve"> </v>
      </c>
      <c r="Q290" s="723"/>
      <c r="R290" s="1939" t="str">
        <f t="shared" si="302"/>
        <v xml:space="preserve"> </v>
      </c>
      <c r="S290" s="1939" t="str">
        <f t="shared" si="306"/>
        <v xml:space="preserve"> </v>
      </c>
      <c r="T290" s="1937" t="str">
        <f t="shared" si="307"/>
        <v xml:space="preserve"> </v>
      </c>
      <c r="U290" s="1937" t="str">
        <f t="shared" si="297"/>
        <v xml:space="preserve"> </v>
      </c>
      <c r="V290" s="733"/>
    </row>
    <row r="291" spans="1:22" s="734" customFormat="1" ht="25.5">
      <c r="A291" s="3150" t="s">
        <v>860</v>
      </c>
      <c r="B291" s="3151" t="s">
        <v>861</v>
      </c>
      <c r="C291" s="3131">
        <v>587090</v>
      </c>
      <c r="D291" s="3131">
        <v>587090</v>
      </c>
      <c r="E291" s="3131">
        <v>587090</v>
      </c>
      <c r="F291" s="3183">
        <v>587090</v>
      </c>
      <c r="G291" s="3129">
        <f>'ANGAJ BUGETAR'!E268</f>
        <v>557772</v>
      </c>
      <c r="H291" s="3113">
        <f t="shared" si="321"/>
        <v>557772</v>
      </c>
      <c r="I291" s="3113">
        <f>'ANGAJAM LEGAL '!D268</f>
        <v>0</v>
      </c>
      <c r="J291" s="3113">
        <f>'ANGAJAM LEGAL '!G268</f>
        <v>557772</v>
      </c>
      <c r="K291" s="3129">
        <f>PLATI!E268</f>
        <v>557772</v>
      </c>
      <c r="L291" s="3113">
        <f t="shared" si="322"/>
        <v>0</v>
      </c>
      <c r="M291" s="3184">
        <v>587084</v>
      </c>
      <c r="N291" s="1956"/>
      <c r="O291" s="1937" t="str">
        <f t="shared" si="305"/>
        <v xml:space="preserve"> </v>
      </c>
      <c r="P291" s="1937" t="str">
        <f t="shared" si="301"/>
        <v xml:space="preserve"> </v>
      </c>
      <c r="Q291" s="723"/>
      <c r="R291" s="1939" t="str">
        <f t="shared" si="302"/>
        <v xml:space="preserve"> </v>
      </c>
      <c r="S291" s="1939" t="str">
        <f t="shared" si="306"/>
        <v xml:space="preserve"> </v>
      </c>
      <c r="T291" s="1937" t="str">
        <f t="shared" si="307"/>
        <v xml:space="preserve"> </v>
      </c>
      <c r="U291" s="1937" t="str">
        <f t="shared" si="297"/>
        <v xml:space="preserve"> </v>
      </c>
      <c r="V291" s="733"/>
    </row>
    <row r="292" spans="1:22" s="732" customFormat="1" ht="25.5">
      <c r="A292" s="3124" t="s">
        <v>1566</v>
      </c>
      <c r="B292" s="3125" t="s">
        <v>1567</v>
      </c>
      <c r="C292" s="3113">
        <f t="shared" ref="C292:M292" si="323">ROUND(C293,1)</f>
        <v>14664000</v>
      </c>
      <c r="D292" s="3113">
        <f t="shared" si="323"/>
        <v>9583000</v>
      </c>
      <c r="E292" s="3113">
        <f t="shared" si="323"/>
        <v>14664000</v>
      </c>
      <c r="F292" s="3113">
        <f t="shared" si="323"/>
        <v>9583000</v>
      </c>
      <c r="G292" s="3113">
        <f t="shared" si="323"/>
        <v>9539977</v>
      </c>
      <c r="H292" s="3113">
        <f t="shared" si="323"/>
        <v>9539977</v>
      </c>
      <c r="I292" s="3113">
        <f t="shared" si="323"/>
        <v>0</v>
      </c>
      <c r="J292" s="3113">
        <f t="shared" si="323"/>
        <v>9539977</v>
      </c>
      <c r="K292" s="3113">
        <f t="shared" si="323"/>
        <v>9539977</v>
      </c>
      <c r="L292" s="3113">
        <f t="shared" si="323"/>
        <v>0</v>
      </c>
      <c r="M292" s="3114">
        <f t="shared" si="323"/>
        <v>9580511</v>
      </c>
      <c r="N292" s="1949"/>
      <c r="O292" s="1937" t="str">
        <f t="shared" si="305"/>
        <v xml:space="preserve"> </v>
      </c>
      <c r="P292" s="1937" t="str">
        <f t="shared" si="301"/>
        <v xml:space="preserve"> </v>
      </c>
      <c r="Q292" s="723"/>
      <c r="R292" s="1939" t="str">
        <f t="shared" si="302"/>
        <v xml:space="preserve"> </v>
      </c>
      <c r="S292" s="1939" t="str">
        <f t="shared" si="306"/>
        <v xml:space="preserve"> </v>
      </c>
      <c r="T292" s="1937" t="str">
        <f t="shared" si="307"/>
        <v xml:space="preserve"> </v>
      </c>
      <c r="U292" s="1937" t="str">
        <f t="shared" si="297"/>
        <v xml:space="preserve"> </v>
      </c>
      <c r="V292" s="731"/>
    </row>
    <row r="293" spans="1:22" s="732" customFormat="1" ht="18" customHeight="1">
      <c r="A293" s="3124" t="s">
        <v>878</v>
      </c>
      <c r="B293" s="3125" t="s">
        <v>879</v>
      </c>
      <c r="C293" s="3113">
        <f t="shared" ref="C293:M293" si="324">ROUND(C298+C300,1)</f>
        <v>14664000</v>
      </c>
      <c r="D293" s="3113">
        <f>ROUND(D298+D300,1)</f>
        <v>9583000</v>
      </c>
      <c r="E293" s="3113">
        <f t="shared" si="324"/>
        <v>14664000</v>
      </c>
      <c r="F293" s="3113">
        <f t="shared" si="324"/>
        <v>9583000</v>
      </c>
      <c r="G293" s="3113">
        <f t="shared" si="324"/>
        <v>9539977</v>
      </c>
      <c r="H293" s="3113">
        <f t="shared" si="324"/>
        <v>9539977</v>
      </c>
      <c r="I293" s="3113">
        <f t="shared" si="324"/>
        <v>0</v>
      </c>
      <c r="J293" s="3113">
        <f t="shared" si="324"/>
        <v>9539977</v>
      </c>
      <c r="K293" s="3113">
        <f t="shared" si="324"/>
        <v>9539977</v>
      </c>
      <c r="L293" s="3113">
        <f t="shared" si="324"/>
        <v>0</v>
      </c>
      <c r="M293" s="3114">
        <f t="shared" si="324"/>
        <v>9580511</v>
      </c>
      <c r="N293" s="1949"/>
      <c r="O293" s="1937" t="str">
        <f t="shared" si="305"/>
        <v xml:space="preserve"> </v>
      </c>
      <c r="P293" s="1937" t="str">
        <f t="shared" si="301"/>
        <v xml:space="preserve"> </v>
      </c>
      <c r="Q293" s="723"/>
      <c r="R293" s="1939" t="str">
        <f t="shared" si="302"/>
        <v xml:space="preserve"> </v>
      </c>
      <c r="S293" s="1939" t="str">
        <f t="shared" si="306"/>
        <v xml:space="preserve"> </v>
      </c>
      <c r="T293" s="1937" t="str">
        <f t="shared" si="307"/>
        <v xml:space="preserve"> </v>
      </c>
      <c r="U293" s="1937" t="str">
        <f t="shared" si="297"/>
        <v xml:space="preserve"> </v>
      </c>
      <c r="V293" s="731"/>
    </row>
    <row r="294" spans="1:22" s="732" customFormat="1" ht="18" customHeight="1">
      <c r="A294" s="3124" t="s">
        <v>1578</v>
      </c>
      <c r="B294" s="3125" t="s">
        <v>1861</v>
      </c>
      <c r="C294" s="3113">
        <f t="shared" ref="C294:M294" si="325">+C299+C300</f>
        <v>14664000</v>
      </c>
      <c r="D294" s="3113">
        <f>+D299+D300</f>
        <v>9583000</v>
      </c>
      <c r="E294" s="3113">
        <f t="shared" si="325"/>
        <v>14664000</v>
      </c>
      <c r="F294" s="3113">
        <f t="shared" si="325"/>
        <v>9583000</v>
      </c>
      <c r="G294" s="3113">
        <f>+G299+G300-G301</f>
        <v>9580511</v>
      </c>
      <c r="H294" s="3113">
        <f>+H299+H300-H301</f>
        <v>9580511</v>
      </c>
      <c r="I294" s="3113">
        <f t="shared" si="325"/>
        <v>0</v>
      </c>
      <c r="J294" s="3113">
        <f>+J299+J300-J301</f>
        <v>9580511</v>
      </c>
      <c r="K294" s="3113">
        <f>+K299+K300-K301</f>
        <v>9580511</v>
      </c>
      <c r="L294" s="3113">
        <f t="shared" si="325"/>
        <v>0</v>
      </c>
      <c r="M294" s="3114">
        <f t="shared" si="325"/>
        <v>9580511</v>
      </c>
      <c r="N294" s="1949"/>
      <c r="O294" s="1937" t="str">
        <f t="shared" si="305"/>
        <v xml:space="preserve"> </v>
      </c>
      <c r="P294" s="1937" t="str">
        <f t="shared" si="301"/>
        <v xml:space="preserve"> </v>
      </c>
      <c r="Q294" s="723"/>
      <c r="R294" s="1939" t="str">
        <f t="shared" si="302"/>
        <v xml:space="preserve"> </v>
      </c>
      <c r="S294" s="1939" t="str">
        <f t="shared" si="306"/>
        <v xml:space="preserve"> </v>
      </c>
      <c r="T294" s="1937" t="str">
        <f t="shared" si="307"/>
        <v xml:space="preserve"> </v>
      </c>
      <c r="U294" s="1937" t="str">
        <f t="shared" si="297"/>
        <v xml:space="preserve"> </v>
      </c>
      <c r="V294" s="731"/>
    </row>
    <row r="295" spans="1:22" s="732" customFormat="1" ht="18" customHeight="1">
      <c r="A295" s="3124" t="s">
        <v>1862</v>
      </c>
      <c r="B295" s="3125" t="s">
        <v>985</v>
      </c>
      <c r="C295" s="3113">
        <f t="shared" ref="C295:M296" si="326">ROUND(C296,1)</f>
        <v>14664000</v>
      </c>
      <c r="D295" s="3113">
        <f t="shared" si="326"/>
        <v>9583000</v>
      </c>
      <c r="E295" s="3113">
        <f t="shared" si="326"/>
        <v>14664000</v>
      </c>
      <c r="F295" s="3113">
        <f t="shared" si="326"/>
        <v>9583000</v>
      </c>
      <c r="G295" s="3113">
        <f t="shared" si="326"/>
        <v>9580511</v>
      </c>
      <c r="H295" s="3113">
        <f t="shared" si="326"/>
        <v>9580511</v>
      </c>
      <c r="I295" s="3113">
        <f t="shared" si="326"/>
        <v>0</v>
      </c>
      <c r="J295" s="3113">
        <f t="shared" si="326"/>
        <v>9580511</v>
      </c>
      <c r="K295" s="3113">
        <f t="shared" si="326"/>
        <v>9580511</v>
      </c>
      <c r="L295" s="3113">
        <f t="shared" si="326"/>
        <v>0</v>
      </c>
      <c r="M295" s="3114">
        <f t="shared" si="326"/>
        <v>9580511</v>
      </c>
      <c r="N295" s="1949"/>
      <c r="O295" s="1937" t="str">
        <f t="shared" si="305"/>
        <v xml:space="preserve"> </v>
      </c>
      <c r="P295" s="1937" t="str">
        <f t="shared" si="301"/>
        <v xml:space="preserve"> </v>
      </c>
      <c r="Q295" s="723"/>
      <c r="R295" s="1939" t="str">
        <f t="shared" si="302"/>
        <v xml:space="preserve"> </v>
      </c>
      <c r="S295" s="1939" t="str">
        <f t="shared" si="306"/>
        <v xml:space="preserve"> </v>
      </c>
      <c r="T295" s="1937" t="str">
        <f t="shared" si="307"/>
        <v xml:space="preserve"> </v>
      </c>
      <c r="U295" s="1937" t="str">
        <f t="shared" si="297"/>
        <v xml:space="preserve"> </v>
      </c>
      <c r="V295" s="731"/>
    </row>
    <row r="296" spans="1:22" s="732" customFormat="1" ht="18" customHeight="1">
      <c r="A296" s="3124" t="s">
        <v>1568</v>
      </c>
      <c r="B296" s="3125" t="s">
        <v>987</v>
      </c>
      <c r="C296" s="3113">
        <f t="shared" si="326"/>
        <v>14664000</v>
      </c>
      <c r="D296" s="3113">
        <f t="shared" si="326"/>
        <v>9583000</v>
      </c>
      <c r="E296" s="3113">
        <f t="shared" si="326"/>
        <v>14664000</v>
      </c>
      <c r="F296" s="3113">
        <f t="shared" si="326"/>
        <v>9583000</v>
      </c>
      <c r="G296" s="3113">
        <f t="shared" si="326"/>
        <v>9580511</v>
      </c>
      <c r="H296" s="3113">
        <f t="shared" si="326"/>
        <v>9580511</v>
      </c>
      <c r="I296" s="3113">
        <f t="shared" si="326"/>
        <v>0</v>
      </c>
      <c r="J296" s="3113">
        <f t="shared" si="326"/>
        <v>9580511</v>
      </c>
      <c r="K296" s="3113">
        <f t="shared" si="326"/>
        <v>9580511</v>
      </c>
      <c r="L296" s="3113">
        <f t="shared" si="326"/>
        <v>0</v>
      </c>
      <c r="M296" s="3114">
        <f t="shared" si="326"/>
        <v>9580511</v>
      </c>
      <c r="N296" s="1949"/>
      <c r="O296" s="1937" t="str">
        <f t="shared" si="305"/>
        <v xml:space="preserve"> </v>
      </c>
      <c r="P296" s="1937" t="str">
        <f t="shared" si="301"/>
        <v xml:space="preserve"> </v>
      </c>
      <c r="Q296" s="723"/>
      <c r="R296" s="1939" t="str">
        <f t="shared" si="302"/>
        <v xml:space="preserve"> </v>
      </c>
      <c r="S296" s="1939" t="str">
        <f t="shared" si="306"/>
        <v xml:space="preserve"> </v>
      </c>
      <c r="T296" s="1937" t="str">
        <f t="shared" si="307"/>
        <v xml:space="preserve"> </v>
      </c>
      <c r="U296" s="1937" t="str">
        <f t="shared" si="297"/>
        <v xml:space="preserve"> </v>
      </c>
      <c r="V296" s="731"/>
    </row>
    <row r="297" spans="1:22" s="732" customFormat="1" ht="18" customHeight="1">
      <c r="A297" s="3124" t="s">
        <v>1569</v>
      </c>
      <c r="B297" s="3125" t="s">
        <v>989</v>
      </c>
      <c r="C297" s="3113">
        <f t="shared" ref="C297:M297" si="327">ROUND(C298+C300,1)</f>
        <v>14664000</v>
      </c>
      <c r="D297" s="3113">
        <f>ROUND(D298+D300,1)</f>
        <v>9583000</v>
      </c>
      <c r="E297" s="3113">
        <f t="shared" si="327"/>
        <v>14664000</v>
      </c>
      <c r="F297" s="3113">
        <f t="shared" si="327"/>
        <v>9583000</v>
      </c>
      <c r="G297" s="3113">
        <f>ROUND(G298+G300,1)-G301</f>
        <v>9580511</v>
      </c>
      <c r="H297" s="3113">
        <f>ROUND(H298+H300,1)-H301</f>
        <v>9580511</v>
      </c>
      <c r="I297" s="3113">
        <f t="shared" si="327"/>
        <v>0</v>
      </c>
      <c r="J297" s="3113">
        <f>ROUND(J298+J300,1)-J301</f>
        <v>9580511</v>
      </c>
      <c r="K297" s="3113">
        <f>ROUND(K298+K300,1)-K301</f>
        <v>9580511</v>
      </c>
      <c r="L297" s="3113">
        <f t="shared" si="327"/>
        <v>0</v>
      </c>
      <c r="M297" s="3114">
        <f t="shared" si="327"/>
        <v>9580511</v>
      </c>
      <c r="N297" s="1949"/>
      <c r="O297" s="1937" t="str">
        <f t="shared" si="305"/>
        <v xml:space="preserve"> </v>
      </c>
      <c r="P297" s="1937" t="str">
        <f t="shared" si="301"/>
        <v xml:space="preserve"> </v>
      </c>
      <c r="Q297" s="723"/>
      <c r="R297" s="1939" t="str">
        <f t="shared" si="302"/>
        <v xml:space="preserve"> </v>
      </c>
      <c r="S297" s="1939" t="str">
        <f t="shared" si="306"/>
        <v xml:space="preserve"> </v>
      </c>
      <c r="T297" s="1937" t="str">
        <f t="shared" si="307"/>
        <v xml:space="preserve"> </v>
      </c>
      <c r="U297" s="1937" t="str">
        <f t="shared" si="297"/>
        <v xml:space="preserve"> </v>
      </c>
      <c r="V297" s="731"/>
    </row>
    <row r="298" spans="1:22" s="732" customFormat="1" ht="25.5">
      <c r="A298" s="3124" t="s">
        <v>880</v>
      </c>
      <c r="B298" s="3125" t="s">
        <v>881</v>
      </c>
      <c r="C298" s="3113">
        <f t="shared" ref="C298:M298" si="328">ROUND(C299,1)</f>
        <v>8323000</v>
      </c>
      <c r="D298" s="3113">
        <f t="shared" si="328"/>
        <v>6583000</v>
      </c>
      <c r="E298" s="3113">
        <f t="shared" si="328"/>
        <v>8323000</v>
      </c>
      <c r="F298" s="3113">
        <f t="shared" si="328"/>
        <v>6583000</v>
      </c>
      <c r="G298" s="3113">
        <f t="shared" si="328"/>
        <v>6582972</v>
      </c>
      <c r="H298" s="3113">
        <f t="shared" si="328"/>
        <v>6582972</v>
      </c>
      <c r="I298" s="3113">
        <f t="shared" si="328"/>
        <v>0</v>
      </c>
      <c r="J298" s="3113">
        <f t="shared" si="328"/>
        <v>6582972</v>
      </c>
      <c r="K298" s="3113">
        <f t="shared" si="328"/>
        <v>6582972</v>
      </c>
      <c r="L298" s="3113">
        <f t="shared" si="328"/>
        <v>0</v>
      </c>
      <c r="M298" s="3114">
        <f t="shared" si="328"/>
        <v>6582972</v>
      </c>
      <c r="N298" s="1949"/>
      <c r="O298" s="1937" t="str">
        <f t="shared" si="305"/>
        <v xml:space="preserve"> </v>
      </c>
      <c r="P298" s="1937" t="str">
        <f t="shared" si="301"/>
        <v xml:space="preserve"> </v>
      </c>
      <c r="Q298" s="723"/>
      <c r="R298" s="1939" t="str">
        <f t="shared" si="302"/>
        <v xml:space="preserve"> </v>
      </c>
      <c r="S298" s="1939" t="str">
        <f t="shared" si="306"/>
        <v xml:space="preserve"> </v>
      </c>
      <c r="T298" s="1937" t="str">
        <f t="shared" si="307"/>
        <v xml:space="preserve"> </v>
      </c>
      <c r="U298" s="1937" t="str">
        <f t="shared" si="297"/>
        <v xml:space="preserve"> </v>
      </c>
      <c r="V298" s="731"/>
    </row>
    <row r="299" spans="1:22" s="728" customFormat="1" ht="18" customHeight="1">
      <c r="A299" s="3116" t="s">
        <v>882</v>
      </c>
      <c r="B299" s="3044" t="s">
        <v>883</v>
      </c>
      <c r="C299" s="3045">
        <v>8323000</v>
      </c>
      <c r="D299" s="3045">
        <v>6583000</v>
      </c>
      <c r="E299" s="3045">
        <v>8323000</v>
      </c>
      <c r="F299" s="3045">
        <v>6583000</v>
      </c>
      <c r="G299" s="3058">
        <f>'ANGAJ BUGETAR'!E276</f>
        <v>6582972</v>
      </c>
      <c r="H299" s="3058">
        <f>I299+J299</f>
        <v>6582972</v>
      </c>
      <c r="I299" s="3058">
        <f>'ANGAJAM LEGAL '!D276</f>
        <v>0</v>
      </c>
      <c r="J299" s="3058">
        <f>'ANGAJAM LEGAL '!G276</f>
        <v>6582972</v>
      </c>
      <c r="K299" s="3058">
        <f>PLATI!E276</f>
        <v>6582972</v>
      </c>
      <c r="L299" s="3058">
        <f>ROUND(H299-K299,1)</f>
        <v>0</v>
      </c>
      <c r="M299" s="3047">
        <v>6582972</v>
      </c>
      <c r="N299" s="1675"/>
      <c r="O299" s="1937" t="str">
        <f t="shared" si="305"/>
        <v xml:space="preserve"> </v>
      </c>
      <c r="P299" s="1937" t="str">
        <f t="shared" si="301"/>
        <v xml:space="preserve"> </v>
      </c>
      <c r="Q299" s="723"/>
      <c r="R299" s="1939" t="str">
        <f t="shared" si="302"/>
        <v xml:space="preserve"> </v>
      </c>
      <c r="S299" s="1939" t="str">
        <f t="shared" si="306"/>
        <v xml:space="preserve"> </v>
      </c>
      <c r="T299" s="1937" t="str">
        <f t="shared" si="307"/>
        <v xml:space="preserve"> </v>
      </c>
      <c r="U299" s="1937" t="str">
        <f t="shared" si="297"/>
        <v xml:space="preserve"> </v>
      </c>
      <c r="V299" s="727"/>
    </row>
    <row r="300" spans="1:22" s="732" customFormat="1" ht="25.5">
      <c r="A300" s="3124" t="s">
        <v>884</v>
      </c>
      <c r="B300" s="3125" t="s">
        <v>885</v>
      </c>
      <c r="C300" s="3131">
        <v>6341000</v>
      </c>
      <c r="D300" s="3131">
        <v>3000000</v>
      </c>
      <c r="E300" s="3131">
        <v>6341000</v>
      </c>
      <c r="F300" s="3131">
        <v>3000000</v>
      </c>
      <c r="G300" s="3113">
        <f>'ANGAJ BUGETAR'!E277</f>
        <v>2957005</v>
      </c>
      <c r="H300" s="3113">
        <f>I300+J300</f>
        <v>2957005</v>
      </c>
      <c r="I300" s="3113">
        <f>'ANGAJAM LEGAL '!D277</f>
        <v>0</v>
      </c>
      <c r="J300" s="3113">
        <f>'ANGAJAM LEGAL '!G277</f>
        <v>2957005</v>
      </c>
      <c r="K300" s="3113">
        <f>PLATI!E277</f>
        <v>2957005</v>
      </c>
      <c r="L300" s="3113">
        <f>ROUND(H300-K300,1)</f>
        <v>0</v>
      </c>
      <c r="M300" s="3184">
        <v>2997539</v>
      </c>
      <c r="N300" s="1956"/>
      <c r="O300" s="1937" t="str">
        <f t="shared" si="305"/>
        <v xml:space="preserve"> </v>
      </c>
      <c r="P300" s="1937" t="str">
        <f t="shared" si="301"/>
        <v xml:space="preserve"> </v>
      </c>
      <c r="Q300" s="723"/>
      <c r="R300" s="1939" t="str">
        <f t="shared" si="302"/>
        <v xml:space="preserve"> </v>
      </c>
      <c r="S300" s="1939" t="str">
        <f t="shared" si="306"/>
        <v xml:space="preserve"> </v>
      </c>
      <c r="T300" s="1937" t="str">
        <f t="shared" si="307"/>
        <v xml:space="preserve"> </v>
      </c>
      <c r="U300" s="1937" t="str">
        <f t="shared" si="297"/>
        <v xml:space="preserve"> </v>
      </c>
      <c r="V300" s="731"/>
    </row>
    <row r="301" spans="1:22" s="732" customFormat="1" ht="36">
      <c r="A301" s="3152" t="s">
        <v>1000</v>
      </c>
      <c r="B301" s="3153" t="s">
        <v>1001</v>
      </c>
      <c r="C301" s="3113"/>
      <c r="D301" s="3113"/>
      <c r="E301" s="3113"/>
      <c r="F301" s="3113"/>
      <c r="G301" s="3113">
        <f t="shared" ref="G301:K303" si="329">G302</f>
        <v>-40534</v>
      </c>
      <c r="H301" s="3113">
        <f t="shared" ref="H301:H304" si="330">I301+J301</f>
        <v>-40534</v>
      </c>
      <c r="I301" s="3113">
        <f t="shared" si="329"/>
        <v>0</v>
      </c>
      <c r="J301" s="3113">
        <f t="shared" si="329"/>
        <v>-40534</v>
      </c>
      <c r="K301" s="3113">
        <f t="shared" si="329"/>
        <v>-40534</v>
      </c>
      <c r="L301" s="3113"/>
      <c r="M301" s="3114"/>
      <c r="N301" s="1949"/>
      <c r="O301" s="723"/>
      <c r="P301" s="723"/>
      <c r="Q301" s="723"/>
      <c r="R301" s="723"/>
      <c r="S301" s="735"/>
      <c r="T301" s="723"/>
      <c r="U301" s="730"/>
      <c r="V301" s="731"/>
    </row>
    <row r="302" spans="1:22" s="732" customFormat="1" ht="36">
      <c r="A302" s="3154" t="s">
        <v>2424</v>
      </c>
      <c r="B302" s="3153" t="s">
        <v>1002</v>
      </c>
      <c r="C302" s="3113"/>
      <c r="D302" s="3113"/>
      <c r="E302" s="3113"/>
      <c r="F302" s="3113"/>
      <c r="G302" s="3113">
        <f t="shared" si="329"/>
        <v>-40534</v>
      </c>
      <c r="H302" s="3113">
        <f t="shared" si="330"/>
        <v>-40534</v>
      </c>
      <c r="I302" s="3113">
        <f t="shared" si="329"/>
        <v>0</v>
      </c>
      <c r="J302" s="3113">
        <f t="shared" si="329"/>
        <v>-40534</v>
      </c>
      <c r="K302" s="3113">
        <f t="shared" si="329"/>
        <v>-40534</v>
      </c>
      <c r="L302" s="3113"/>
      <c r="M302" s="3114"/>
      <c r="N302" s="1949"/>
      <c r="O302" s="723"/>
      <c r="P302" s="723"/>
      <c r="Q302" s="723"/>
      <c r="R302" s="723"/>
      <c r="S302" s="735"/>
      <c r="T302" s="723"/>
      <c r="U302" s="730"/>
      <c r="V302" s="731"/>
    </row>
    <row r="303" spans="1:22" s="732" customFormat="1" ht="36">
      <c r="A303" s="3155" t="s">
        <v>1600</v>
      </c>
      <c r="B303" s="3156" t="s">
        <v>1004</v>
      </c>
      <c r="C303" s="3113"/>
      <c r="D303" s="3113"/>
      <c r="E303" s="3113"/>
      <c r="F303" s="3113"/>
      <c r="G303" s="3113">
        <f t="shared" si="329"/>
        <v>-40534</v>
      </c>
      <c r="H303" s="3113">
        <f t="shared" si="330"/>
        <v>-40534</v>
      </c>
      <c r="I303" s="3113">
        <f t="shared" si="329"/>
        <v>0</v>
      </c>
      <c r="J303" s="3113">
        <f t="shared" si="329"/>
        <v>-40534</v>
      </c>
      <c r="K303" s="3113">
        <f t="shared" si="329"/>
        <v>-40534</v>
      </c>
      <c r="L303" s="3113"/>
      <c r="M303" s="3114"/>
      <c r="N303" s="1949"/>
      <c r="O303" s="723"/>
      <c r="P303" s="723"/>
      <c r="Q303" s="723"/>
      <c r="R303" s="723"/>
      <c r="S303" s="735"/>
      <c r="T303" s="723"/>
      <c r="U303" s="730"/>
      <c r="V303" s="731"/>
    </row>
    <row r="304" spans="1:22" s="732" customFormat="1" ht="36">
      <c r="A304" s="3155" t="s">
        <v>1600</v>
      </c>
      <c r="B304" s="3156" t="s">
        <v>1005</v>
      </c>
      <c r="C304" s="3058"/>
      <c r="D304" s="3058"/>
      <c r="E304" s="3058"/>
      <c r="F304" s="3058"/>
      <c r="G304" s="3117">
        <f>K304</f>
        <v>-40534</v>
      </c>
      <c r="H304" s="3117">
        <f t="shared" si="330"/>
        <v>-40534</v>
      </c>
      <c r="I304" s="3117"/>
      <c r="J304" s="3117">
        <f>K304</f>
        <v>-40534</v>
      </c>
      <c r="K304" s="3117">
        <f>PLATI!D269</f>
        <v>-40534</v>
      </c>
      <c r="L304" s="3117"/>
      <c r="M304" s="3126"/>
      <c r="N304" s="85"/>
      <c r="O304" s="723"/>
      <c r="P304" s="723"/>
      <c r="Q304" s="723"/>
      <c r="R304" s="723"/>
      <c r="S304" s="735"/>
      <c r="T304" s="723"/>
      <c r="U304" s="730"/>
      <c r="V304" s="731"/>
    </row>
    <row r="305" spans="1:22" s="732" customFormat="1" ht="18" customHeight="1">
      <c r="A305" s="3124" t="s">
        <v>886</v>
      </c>
      <c r="B305" s="3125" t="s">
        <v>887</v>
      </c>
      <c r="C305" s="3113"/>
      <c r="D305" s="3113"/>
      <c r="E305" s="3113">
        <f>ROUND(E306,1)</f>
        <v>0</v>
      </c>
      <c r="F305" s="3113">
        <f>ROUND(F306,1)</f>
        <v>0</v>
      </c>
      <c r="G305" s="3113"/>
      <c r="H305" s="3113"/>
      <c r="I305" s="3113"/>
      <c r="J305" s="3113"/>
      <c r="K305" s="3113">
        <f>ROUND(K306,1)</f>
        <v>0</v>
      </c>
      <c r="L305" s="3113"/>
      <c r="M305" s="3114"/>
      <c r="N305" s="1949"/>
      <c r="O305" s="724"/>
      <c r="P305" s="724"/>
      <c r="Q305" s="724"/>
      <c r="R305" s="724"/>
      <c r="S305" s="723"/>
      <c r="T305" s="723"/>
      <c r="U305" s="730"/>
      <c r="V305" s="731"/>
    </row>
    <row r="306" spans="1:22" s="732" customFormat="1" ht="18" customHeight="1">
      <c r="A306" s="3124" t="s">
        <v>888</v>
      </c>
      <c r="B306" s="3125" t="s">
        <v>889</v>
      </c>
      <c r="C306" s="3113"/>
      <c r="D306" s="3113"/>
      <c r="E306" s="3113"/>
      <c r="F306" s="3113"/>
      <c r="G306" s="3113"/>
      <c r="H306" s="3113"/>
      <c r="I306" s="3113"/>
      <c r="J306" s="3113"/>
      <c r="K306" s="3113"/>
      <c r="L306" s="3113"/>
      <c r="M306" s="3114"/>
      <c r="N306" s="1949"/>
      <c r="O306" s="1944"/>
      <c r="P306" s="1944"/>
      <c r="Q306" s="724"/>
      <c r="R306" s="724"/>
      <c r="S306" s="723"/>
      <c r="T306" s="723"/>
      <c r="U306" s="730"/>
      <c r="V306" s="731"/>
    </row>
    <row r="307" spans="1:22" s="728" customFormat="1" ht="18" customHeight="1">
      <c r="A307" s="3185" t="s">
        <v>890</v>
      </c>
      <c r="B307" s="3044" t="s">
        <v>891</v>
      </c>
      <c r="C307" s="3058"/>
      <c r="D307" s="3058"/>
      <c r="E307" s="3058">
        <f>IF(E310&gt;=0,E310,0)</f>
        <v>0</v>
      </c>
      <c r="F307" s="3058">
        <f>IF(F310&gt;=0,F310,0)</f>
        <v>0</v>
      </c>
      <c r="G307" s="3058"/>
      <c r="H307" s="3058"/>
      <c r="I307" s="3058"/>
      <c r="J307" s="3058"/>
      <c r="K307" s="3058">
        <f>IF(K310&gt;=0,K310,0)</f>
        <v>0</v>
      </c>
      <c r="L307" s="3058"/>
      <c r="M307" s="3126"/>
      <c r="N307" s="85"/>
      <c r="O307" s="1945"/>
      <c r="P307" s="1945"/>
      <c r="Q307" s="1945"/>
      <c r="R307" s="1945"/>
      <c r="S307" s="1946"/>
      <c r="T307" s="1946"/>
      <c r="U307" s="738"/>
      <c r="V307" s="727"/>
    </row>
    <row r="308" spans="1:22" s="728" customFormat="1" ht="24" customHeight="1">
      <c r="A308" s="3186" t="s">
        <v>892</v>
      </c>
      <c r="B308" s="3187" t="s">
        <v>893</v>
      </c>
      <c r="C308" s="3188"/>
      <c r="D308" s="3188"/>
      <c r="E308" s="3188">
        <f>IF(E310&lt;=0,E310,0)</f>
        <v>-159057390</v>
      </c>
      <c r="F308" s="3188">
        <f>IF(F310&lt;=0,F310,0)</f>
        <v>-108094490</v>
      </c>
      <c r="G308" s="3188"/>
      <c r="H308" s="3188"/>
      <c r="I308" s="3188"/>
      <c r="J308" s="3188"/>
      <c r="K308" s="3189">
        <f>IF(K310&lt;=0,K310,0)</f>
        <v>-111560525</v>
      </c>
      <c r="L308" s="3188"/>
      <c r="M308" s="3190"/>
      <c r="N308" s="85"/>
      <c r="O308" s="1945"/>
      <c r="P308" s="1945"/>
      <c r="Q308" s="1945"/>
      <c r="R308" s="1945"/>
      <c r="S308" s="1946"/>
      <c r="T308" s="1946"/>
      <c r="U308" s="738"/>
      <c r="V308" s="727"/>
    </row>
    <row r="309" spans="1:22" s="48" customFormat="1" ht="18" customHeight="1">
      <c r="A309" s="284"/>
      <c r="B309" s="739"/>
      <c r="C309" s="284"/>
      <c r="D309" s="284"/>
      <c r="E309" s="740"/>
      <c r="F309" s="740"/>
      <c r="G309" s="740"/>
      <c r="H309" s="740"/>
      <c r="I309" s="740"/>
      <c r="J309" s="740"/>
      <c r="K309" s="741"/>
      <c r="L309" s="742"/>
      <c r="M309" s="742"/>
      <c r="N309" s="742"/>
      <c r="O309" s="724"/>
      <c r="P309" s="724"/>
      <c r="Q309" s="1947"/>
      <c r="R309" s="1947"/>
      <c r="S309" s="735"/>
      <c r="T309" s="1947"/>
      <c r="U309" s="743"/>
      <c r="V309" s="322"/>
    </row>
    <row r="310" spans="1:22" s="48" customFormat="1" ht="18" customHeight="1">
      <c r="A310" s="744"/>
      <c r="B310" s="269"/>
      <c r="C310" s="721"/>
      <c r="D310" s="721"/>
      <c r="E310" s="745">
        <f>'ANEXA 5 '!C10-'CONT EXECUTIE  '!E20-'CONT EXECUTIE  '!E306</f>
        <v>-159057390</v>
      </c>
      <c r="F310" s="745">
        <f>'ANEXA 5 '!D10-'CONT EXECUTIE  '!F8-'CONT EXECUTIE  '!F306</f>
        <v>-108094490</v>
      </c>
      <c r="J310" s="147"/>
      <c r="K310" s="745">
        <f>'ANEXA 5 '!H10-'CONT EXECUTIE  '!K8-'CONT EXECUTIE  '!K306</f>
        <v>-111560525</v>
      </c>
      <c r="L310" s="147"/>
      <c r="M310" s="147"/>
      <c r="N310" s="147"/>
      <c r="O310" s="724"/>
      <c r="P310" s="724"/>
      <c r="Q310" s="1947"/>
      <c r="R310" s="1947"/>
      <c r="S310" s="1947"/>
      <c r="T310" s="1947"/>
      <c r="U310" s="743"/>
      <c r="V310" s="322"/>
    </row>
    <row r="311" spans="1:22" s="1" customFormat="1" ht="18" customHeight="1">
      <c r="A311" s="4148" t="str">
        <f>'ANEXA 1'!B94</f>
        <v>DIRECTOR  GENERAL,</v>
      </c>
      <c r="B311" s="4148"/>
      <c r="C311" s="4148"/>
      <c r="D311" s="4148"/>
      <c r="E311" s="1048" t="s">
        <v>13</v>
      </c>
      <c r="F311" s="147"/>
      <c r="G311" s="74"/>
      <c r="H311" s="74"/>
      <c r="I311" s="4093" t="str">
        <f>'ANEXA 1'!D94</f>
        <v>DIRECTOR  EXECUTIV  ECONOMIC,</v>
      </c>
      <c r="J311" s="4093"/>
      <c r="K311" s="4093"/>
      <c r="L311" s="644"/>
      <c r="M311" s="74"/>
      <c r="N311" s="74"/>
      <c r="O311" s="746"/>
      <c r="P311" s="746"/>
      <c r="Q311" s="747"/>
      <c r="R311" s="747"/>
      <c r="S311" s="747"/>
      <c r="T311" s="747"/>
      <c r="U311" s="743"/>
      <c r="V311" s="17"/>
    </row>
    <row r="312" spans="1:22" ht="18" customHeight="1">
      <c r="I312" s="726"/>
      <c r="J312" s="726"/>
      <c r="K312" s="726"/>
    </row>
    <row r="313" spans="1:22" ht="18" customHeight="1">
      <c r="A313" s="4532" t="str">
        <f>'ANEXA 1'!B96</f>
        <v>EC.ALBU DRINA</v>
      </c>
      <c r="B313" s="4532"/>
      <c r="C313" s="4532"/>
      <c r="D313" s="4532"/>
      <c r="I313" s="4532" t="str">
        <f>'ANEXA 1'!D96</f>
        <v>EC.BIRCU FLORINA</v>
      </c>
      <c r="J313" s="4532"/>
      <c r="K313" s="4532"/>
    </row>
    <row r="314" spans="1:22" ht="18" customHeight="1">
      <c r="A314" s="4541">
        <f>'ANEXA 1'!B97</f>
        <v>0</v>
      </c>
      <c r="B314" s="4541"/>
      <c r="C314" s="4541"/>
      <c r="D314" s="4541"/>
    </row>
    <row r="315" spans="1:22" ht="18" customHeight="1">
      <c r="K315" s="1129"/>
    </row>
    <row r="316" spans="1:22" ht="18" customHeight="1">
      <c r="K316" s="1129"/>
    </row>
    <row r="317" spans="1:22" ht="18" customHeight="1">
      <c r="K317" s="1129"/>
    </row>
    <row r="318" spans="1:22" ht="18" customHeight="1">
      <c r="A318" s="4543">
        <f>+'ANEXA 1'!B99</f>
        <v>0</v>
      </c>
      <c r="B318" s="4543"/>
      <c r="C318" s="4543"/>
      <c r="D318" s="4543"/>
      <c r="I318" s="3976">
        <f>'ANEXA 1'!D99</f>
        <v>0</v>
      </c>
      <c r="J318" s="3976"/>
      <c r="K318" s="3976"/>
    </row>
    <row r="319" spans="1:22" ht="18" customHeight="1">
      <c r="A319" s="716"/>
      <c r="B319" s="716"/>
      <c r="C319" s="1642"/>
      <c r="D319" s="1642"/>
    </row>
    <row r="320" spans="1:22" ht="18" customHeight="1">
      <c r="A320" s="4544">
        <f>+'ANEXA 1'!B101</f>
        <v>0</v>
      </c>
      <c r="B320" s="4544"/>
      <c r="C320" s="4544"/>
      <c r="D320" s="4544"/>
      <c r="I320" s="4542">
        <f>'ANEXA 1'!D101</f>
        <v>0</v>
      </c>
      <c r="J320" s="4542"/>
      <c r="K320" s="4542"/>
    </row>
  </sheetData>
  <sheetProtection password="CFDD" sheet="1" objects="1" scenarios="1"/>
  <mergeCells count="22">
    <mergeCell ref="A314:D314"/>
    <mergeCell ref="I318:K318"/>
    <mergeCell ref="I320:K320"/>
    <mergeCell ref="A318:D318"/>
    <mergeCell ref="A320:D320"/>
    <mergeCell ref="A1:G1"/>
    <mergeCell ref="A2:M2"/>
    <mergeCell ref="A5:A6"/>
    <mergeCell ref="B5:B6"/>
    <mergeCell ref="A3:M3"/>
    <mergeCell ref="E5:F5"/>
    <mergeCell ref="G5:G6"/>
    <mergeCell ref="H5:H6"/>
    <mergeCell ref="I5:J5"/>
    <mergeCell ref="K5:K6"/>
    <mergeCell ref="L5:L6"/>
    <mergeCell ref="M5:M6"/>
    <mergeCell ref="I311:K311"/>
    <mergeCell ref="I313:K313"/>
    <mergeCell ref="C5:D5"/>
    <mergeCell ref="A311:D311"/>
    <mergeCell ref="A313:D313"/>
  </mergeCells>
  <phoneticPr fontId="0" type="noConversion"/>
  <dataValidations count="1">
    <dataValidation allowBlank="1" showErrorMessage="1" sqref="N8:N35 N57:N75 N78:N87 N89:N308 C8:M308"/>
  </dataValidations>
  <printOptions horizontalCentered="1" verticalCentered="1"/>
  <pageMargins left="0.15748031496062992" right="0.15748031496062992" top="0.39370078740157483" bottom="0" header="0.31496062992125984" footer="0.11811023622047245"/>
  <pageSetup paperSize="9" scale="65" firstPageNumber="0" orientation="landscape" r:id="rId1"/>
  <headerFooter alignWithMargins="0">
    <oddFooter>&amp;C&amp;A&amp;RPagina &amp;P</oddFooter>
  </headerFooter>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6">
    <tabColor rgb="FFC00000"/>
  </sheetPr>
  <dimension ref="A1:N35"/>
  <sheetViews>
    <sheetView showZeros="0" workbookViewId="0">
      <selection activeCell="F19" sqref="F19"/>
    </sheetView>
  </sheetViews>
  <sheetFormatPr defaultColWidth="9" defaultRowHeight="12.75"/>
  <cols>
    <col min="1" max="1" width="51.85546875" style="744" customWidth="1"/>
    <col min="2" max="2" width="12.28515625" style="269" customWidth="1"/>
    <col min="3" max="4" width="15.28515625" style="721" customWidth="1"/>
    <col min="5" max="5" width="19.42578125" style="5" customWidth="1"/>
    <col min="6" max="6" width="18.28515625" style="48" customWidth="1"/>
    <col min="7" max="8" width="15" style="48" customWidth="1"/>
    <col min="9" max="9" width="14.140625" style="48" customWidth="1"/>
    <col min="10" max="10" width="15.42578125" style="48" customWidth="1"/>
    <col min="11" max="12" width="15.140625" style="48" customWidth="1"/>
    <col min="13" max="13" width="15" style="48" customWidth="1"/>
    <col min="14" max="16384" width="9" style="1"/>
  </cols>
  <sheetData>
    <row r="1" spans="1:13" ht="15">
      <c r="A1" s="3989" t="str">
        <f>+'ANEXA 1'!A1:E1</f>
        <v>CASA  DE  ASIGURĂRI  DE  SĂNĂTATE MEHEDINTI</v>
      </c>
      <c r="B1" s="3989"/>
      <c r="C1" s="3989"/>
      <c r="D1" s="3989"/>
      <c r="E1" s="3989"/>
      <c r="F1" s="3989"/>
      <c r="G1" s="3989"/>
      <c r="H1" s="35"/>
      <c r="I1" s="35"/>
      <c r="K1" s="5"/>
      <c r="M1" s="1552"/>
    </row>
    <row r="2" spans="1:13">
      <c r="A2" s="4166" t="s">
        <v>805</v>
      </c>
      <c r="B2" s="4166"/>
      <c r="C2" s="4166"/>
      <c r="D2" s="4166"/>
      <c r="E2" s="4166"/>
      <c r="F2" s="4166"/>
      <c r="G2" s="4166"/>
      <c r="H2" s="4166"/>
      <c r="I2" s="4166"/>
      <c r="J2" s="4166"/>
      <c r="K2" s="4166"/>
      <c r="L2" s="4166"/>
      <c r="M2" s="4166"/>
    </row>
    <row r="3" spans="1:13">
      <c r="A3" s="4008" t="str">
        <f>'ANEXA 1'!A12:E12</f>
        <v>la  data  de  30  IUNIE  2023</v>
      </c>
      <c r="B3" s="4008"/>
      <c r="C3" s="4008"/>
      <c r="D3" s="4008"/>
      <c r="E3" s="4008"/>
      <c r="F3" s="4008"/>
      <c r="G3" s="4008"/>
      <c r="H3" s="4008"/>
      <c r="I3" s="4008"/>
      <c r="J3" s="4008"/>
      <c r="K3" s="4008"/>
      <c r="L3" s="4008"/>
      <c r="M3" s="4008"/>
    </row>
    <row r="4" spans="1:13">
      <c r="A4" s="720" t="s">
        <v>806</v>
      </c>
      <c r="B4" s="1233"/>
      <c r="F4" s="5"/>
      <c r="K4" s="5"/>
      <c r="L4" s="69"/>
      <c r="M4" s="360" t="s">
        <v>271</v>
      </c>
    </row>
    <row r="5" spans="1:13" ht="15" customHeight="1">
      <c r="A5" s="4533" t="s">
        <v>807</v>
      </c>
      <c r="B5" s="4535" t="s">
        <v>808</v>
      </c>
      <c r="C5" s="4153" t="s">
        <v>809</v>
      </c>
      <c r="D5" s="4153"/>
      <c r="E5" s="4153" t="s">
        <v>810</v>
      </c>
      <c r="F5" s="4153"/>
      <c r="G5" s="4476" t="s">
        <v>811</v>
      </c>
      <c r="H5" s="4538" t="s">
        <v>1570</v>
      </c>
      <c r="I5" s="4476" t="s">
        <v>331</v>
      </c>
      <c r="J5" s="4476"/>
      <c r="K5" s="4538" t="s">
        <v>813</v>
      </c>
      <c r="L5" s="4538" t="s">
        <v>814</v>
      </c>
      <c r="M5" s="4478" t="s">
        <v>815</v>
      </c>
    </row>
    <row r="6" spans="1:13" ht="64.5" customHeight="1">
      <c r="A6" s="4545"/>
      <c r="B6" s="4546"/>
      <c r="C6" s="1349" t="str">
        <f>'CONT EXECUTIE  '!C6</f>
        <v>anuale aprobate la finele perioadei de raportare</v>
      </c>
      <c r="D6" s="1349" t="str">
        <f>'CONT EXECUTIE  '!D6</f>
        <v>trimestriale cumulate</v>
      </c>
      <c r="E6" s="1349" t="str">
        <f>'CONT EXECUTIE  '!E6</f>
        <v>anuale aprobate la finele perioadei de raportare</v>
      </c>
      <c r="F6" s="1349" t="str">
        <f>'CONT EXECUTIE  '!F6</f>
        <v>trimestriale cumulate</v>
      </c>
      <c r="G6" s="4547"/>
      <c r="H6" s="4548"/>
      <c r="I6" s="1551" t="s">
        <v>1115</v>
      </c>
      <c r="J6" s="1350" t="s">
        <v>1571</v>
      </c>
      <c r="K6" s="4548"/>
      <c r="L6" s="4548"/>
      <c r="M6" s="4549"/>
    </row>
    <row r="7" spans="1:13" ht="11.25" customHeight="1">
      <c r="A7" s="1351" t="s">
        <v>92</v>
      </c>
      <c r="B7" s="1352" t="s">
        <v>93</v>
      </c>
      <c r="C7" s="1299">
        <v>1</v>
      </c>
      <c r="D7" s="1299">
        <v>2</v>
      </c>
      <c r="E7" s="1299">
        <v>3</v>
      </c>
      <c r="F7" s="1299">
        <v>4</v>
      </c>
      <c r="G7" s="1353">
        <v>5</v>
      </c>
      <c r="H7" s="1353" t="s">
        <v>2059</v>
      </c>
      <c r="I7" s="1354" t="s">
        <v>2060</v>
      </c>
      <c r="J7" s="1355" t="s">
        <v>2061</v>
      </c>
      <c r="K7" s="1356">
        <v>7</v>
      </c>
      <c r="L7" s="1357" t="s">
        <v>2057</v>
      </c>
      <c r="M7" s="1358">
        <v>9</v>
      </c>
    </row>
    <row r="8" spans="1:13" s="133" customFormat="1" ht="16.5" customHeight="1">
      <c r="A8" s="1359" t="s">
        <v>2073</v>
      </c>
      <c r="B8" s="1360" t="s">
        <v>2074</v>
      </c>
      <c r="C8" s="1361">
        <f t="shared" ref="C8:M18" si="0">+C9</f>
        <v>0</v>
      </c>
      <c r="D8" s="1361">
        <f t="shared" si="0"/>
        <v>0</v>
      </c>
      <c r="E8" s="1361">
        <f t="shared" si="0"/>
        <v>0</v>
      </c>
      <c r="F8" s="1361">
        <f t="shared" si="0"/>
        <v>0</v>
      </c>
      <c r="G8" s="1361">
        <f t="shared" si="0"/>
        <v>0</v>
      </c>
      <c r="H8" s="1361">
        <f t="shared" si="0"/>
        <v>0</v>
      </c>
      <c r="I8" s="1361">
        <f t="shared" si="0"/>
        <v>0</v>
      </c>
      <c r="J8" s="1361">
        <f t="shared" si="0"/>
        <v>0</v>
      </c>
      <c r="K8" s="1361">
        <f t="shared" si="0"/>
        <v>0</v>
      </c>
      <c r="L8" s="1361">
        <f t="shared" si="0"/>
        <v>0</v>
      </c>
      <c r="M8" s="1362">
        <f t="shared" si="0"/>
        <v>0</v>
      </c>
    </row>
    <row r="9" spans="1:13" s="133" customFormat="1" ht="16.5" customHeight="1">
      <c r="A9" s="1344" t="s">
        <v>1578</v>
      </c>
      <c r="B9" s="1339" t="s">
        <v>2075</v>
      </c>
      <c r="C9" s="1279">
        <f t="shared" si="0"/>
        <v>0</v>
      </c>
      <c r="D9" s="1279">
        <f t="shared" si="0"/>
        <v>0</v>
      </c>
      <c r="E9" s="1279">
        <f t="shared" si="0"/>
        <v>0</v>
      </c>
      <c r="F9" s="1279">
        <f t="shared" si="0"/>
        <v>0</v>
      </c>
      <c r="G9" s="1279">
        <f t="shared" si="0"/>
        <v>0</v>
      </c>
      <c r="H9" s="1279">
        <f t="shared" si="0"/>
        <v>0</v>
      </c>
      <c r="I9" s="1279">
        <f t="shared" si="0"/>
        <v>0</v>
      </c>
      <c r="J9" s="1279">
        <f t="shared" si="0"/>
        <v>0</v>
      </c>
      <c r="K9" s="1279">
        <f t="shared" si="0"/>
        <v>0</v>
      </c>
      <c r="L9" s="1279">
        <f t="shared" si="0"/>
        <v>0</v>
      </c>
      <c r="M9" s="1343">
        <f t="shared" si="0"/>
        <v>0</v>
      </c>
    </row>
    <row r="10" spans="1:13" s="725" customFormat="1" ht="38.25">
      <c r="A10" s="1344" t="s">
        <v>2076</v>
      </c>
      <c r="B10" s="1339" t="s">
        <v>2077</v>
      </c>
      <c r="C10" s="1279">
        <f t="shared" si="0"/>
        <v>0</v>
      </c>
      <c r="D10" s="1279">
        <f t="shared" si="0"/>
        <v>0</v>
      </c>
      <c r="E10" s="1279">
        <f t="shared" si="0"/>
        <v>0</v>
      </c>
      <c r="F10" s="1279">
        <f t="shared" si="0"/>
        <v>0</v>
      </c>
      <c r="G10" s="1279">
        <f t="shared" si="0"/>
        <v>0</v>
      </c>
      <c r="H10" s="1279">
        <f t="shared" si="0"/>
        <v>0</v>
      </c>
      <c r="I10" s="1279">
        <f t="shared" si="0"/>
        <v>0</v>
      </c>
      <c r="J10" s="1279">
        <f t="shared" si="0"/>
        <v>0</v>
      </c>
      <c r="K10" s="1279">
        <f t="shared" si="0"/>
        <v>0</v>
      </c>
      <c r="L10" s="1279">
        <f t="shared" si="0"/>
        <v>0</v>
      </c>
      <c r="M10" s="1343">
        <f t="shared" si="0"/>
        <v>0</v>
      </c>
    </row>
    <row r="11" spans="1:13" s="133" customFormat="1" ht="15">
      <c r="A11" s="1373" t="s">
        <v>1954</v>
      </c>
      <c r="B11" s="1374" t="s">
        <v>2578</v>
      </c>
      <c r="C11" s="1341">
        <f t="shared" si="0"/>
        <v>0</v>
      </c>
      <c r="D11" s="1341">
        <f t="shared" si="0"/>
        <v>0</v>
      </c>
      <c r="E11" s="1341">
        <f t="shared" si="0"/>
        <v>0</v>
      </c>
      <c r="F11" s="1341">
        <f t="shared" si="0"/>
        <v>0</v>
      </c>
      <c r="G11" s="1341">
        <f t="shared" si="0"/>
        <v>0</v>
      </c>
      <c r="H11" s="1341">
        <f t="shared" si="0"/>
        <v>0</v>
      </c>
      <c r="I11" s="1279">
        <f t="shared" si="0"/>
        <v>0</v>
      </c>
      <c r="J11" s="1341">
        <f t="shared" si="0"/>
        <v>0</v>
      </c>
      <c r="K11" s="1279">
        <f t="shared" si="0"/>
        <v>0</v>
      </c>
      <c r="L11" s="1341">
        <f t="shared" si="0"/>
        <v>0</v>
      </c>
      <c r="M11" s="1343">
        <f t="shared" si="0"/>
        <v>0</v>
      </c>
    </row>
    <row r="12" spans="1:13" s="133" customFormat="1" ht="16.5" customHeight="1">
      <c r="A12" s="1373" t="s">
        <v>976</v>
      </c>
      <c r="B12" s="1374" t="s">
        <v>2579</v>
      </c>
      <c r="C12" s="1341">
        <f t="shared" si="0"/>
        <v>0</v>
      </c>
      <c r="D12" s="1341">
        <f t="shared" si="0"/>
        <v>0</v>
      </c>
      <c r="E12" s="1341">
        <f t="shared" si="0"/>
        <v>0</v>
      </c>
      <c r="F12" s="1341">
        <f t="shared" si="0"/>
        <v>0</v>
      </c>
      <c r="G12" s="1341">
        <f t="shared" si="0"/>
        <v>0</v>
      </c>
      <c r="H12" s="1341">
        <f t="shared" si="0"/>
        <v>0</v>
      </c>
      <c r="I12" s="1279">
        <f t="shared" si="0"/>
        <v>0</v>
      </c>
      <c r="J12" s="1341">
        <f t="shared" si="0"/>
        <v>0</v>
      </c>
      <c r="K12" s="1279">
        <f t="shared" si="0"/>
        <v>0</v>
      </c>
      <c r="L12" s="1341">
        <f t="shared" si="0"/>
        <v>0</v>
      </c>
      <c r="M12" s="1343">
        <f t="shared" si="0"/>
        <v>0</v>
      </c>
    </row>
    <row r="13" spans="1:13" s="725" customFormat="1" ht="15">
      <c r="A13" s="1373" t="s">
        <v>820</v>
      </c>
      <c r="B13" s="1374" t="s">
        <v>2078</v>
      </c>
      <c r="C13" s="1341">
        <f t="shared" si="0"/>
        <v>0</v>
      </c>
      <c r="D13" s="1341">
        <f t="shared" si="0"/>
        <v>0</v>
      </c>
      <c r="E13" s="1341">
        <f t="shared" si="0"/>
        <v>0</v>
      </c>
      <c r="F13" s="1341">
        <f t="shared" si="0"/>
        <v>0</v>
      </c>
      <c r="G13" s="1341">
        <f t="shared" si="0"/>
        <v>0</v>
      </c>
      <c r="H13" s="1341">
        <f t="shared" si="0"/>
        <v>0</v>
      </c>
      <c r="I13" s="1279">
        <f t="shared" si="0"/>
        <v>0</v>
      </c>
      <c r="J13" s="1341">
        <f t="shared" si="0"/>
        <v>0</v>
      </c>
      <c r="K13" s="1279">
        <f t="shared" si="0"/>
        <v>0</v>
      </c>
      <c r="L13" s="1341">
        <f t="shared" si="0"/>
        <v>0</v>
      </c>
      <c r="M13" s="1343">
        <f t="shared" si="0"/>
        <v>0</v>
      </c>
    </row>
    <row r="14" spans="1:13" s="1062" customFormat="1" ht="15">
      <c r="A14" s="1536" t="s">
        <v>1578</v>
      </c>
      <c r="B14" s="1537" t="s">
        <v>2079</v>
      </c>
      <c r="C14" s="1169">
        <f t="shared" si="0"/>
        <v>0</v>
      </c>
      <c r="D14" s="1169">
        <f t="shared" si="0"/>
        <v>0</v>
      </c>
      <c r="E14" s="1169">
        <f t="shared" si="0"/>
        <v>0</v>
      </c>
      <c r="F14" s="1169">
        <f t="shared" si="0"/>
        <v>0</v>
      </c>
      <c r="G14" s="1169">
        <f t="shared" si="0"/>
        <v>0</v>
      </c>
      <c r="H14" s="1169">
        <f t="shared" si="0"/>
        <v>0</v>
      </c>
      <c r="I14" s="1169">
        <f t="shared" si="0"/>
        <v>0</v>
      </c>
      <c r="J14" s="1169">
        <f t="shared" si="0"/>
        <v>0</v>
      </c>
      <c r="K14" s="1169">
        <f t="shared" si="0"/>
        <v>0</v>
      </c>
      <c r="L14" s="1169">
        <f t="shared" si="0"/>
        <v>0</v>
      </c>
      <c r="M14" s="1296">
        <f t="shared" si="0"/>
        <v>0</v>
      </c>
    </row>
    <row r="15" spans="1:13" s="1062" customFormat="1" ht="38.25">
      <c r="A15" s="1536" t="s">
        <v>2076</v>
      </c>
      <c r="B15" s="1537" t="s">
        <v>2080</v>
      </c>
      <c r="C15" s="1169">
        <f t="shared" si="0"/>
        <v>0</v>
      </c>
      <c r="D15" s="1169">
        <f t="shared" si="0"/>
        <v>0</v>
      </c>
      <c r="E15" s="1169">
        <f t="shared" si="0"/>
        <v>0</v>
      </c>
      <c r="F15" s="1169">
        <f t="shared" si="0"/>
        <v>0</v>
      </c>
      <c r="G15" s="1169">
        <f t="shared" si="0"/>
        <v>0</v>
      </c>
      <c r="H15" s="1169">
        <f t="shared" si="0"/>
        <v>0</v>
      </c>
      <c r="I15" s="1169">
        <f t="shared" si="0"/>
        <v>0</v>
      </c>
      <c r="J15" s="1169">
        <f t="shared" si="0"/>
        <v>0</v>
      </c>
      <c r="K15" s="1169">
        <f t="shared" si="0"/>
        <v>0</v>
      </c>
      <c r="L15" s="1169">
        <f t="shared" si="0"/>
        <v>0</v>
      </c>
      <c r="M15" s="1296">
        <f t="shared" si="0"/>
        <v>0</v>
      </c>
    </row>
    <row r="16" spans="1:13" s="1062" customFormat="1" ht="15">
      <c r="A16" s="1536" t="s">
        <v>1954</v>
      </c>
      <c r="B16" s="1537" t="s">
        <v>2580</v>
      </c>
      <c r="C16" s="1169">
        <f t="shared" si="0"/>
        <v>0</v>
      </c>
      <c r="D16" s="1169">
        <f t="shared" si="0"/>
        <v>0</v>
      </c>
      <c r="E16" s="1169">
        <f t="shared" si="0"/>
        <v>0</v>
      </c>
      <c r="F16" s="1169">
        <f t="shared" si="0"/>
        <v>0</v>
      </c>
      <c r="G16" s="1169">
        <f t="shared" si="0"/>
        <v>0</v>
      </c>
      <c r="H16" s="1169">
        <f t="shared" si="0"/>
        <v>0</v>
      </c>
      <c r="I16" s="1169">
        <f t="shared" si="0"/>
        <v>0</v>
      </c>
      <c r="J16" s="1169">
        <f t="shared" si="0"/>
        <v>0</v>
      </c>
      <c r="K16" s="1169">
        <f t="shared" si="0"/>
        <v>0</v>
      </c>
      <c r="L16" s="1169">
        <f t="shared" si="0"/>
        <v>0</v>
      </c>
      <c r="M16" s="1296">
        <f t="shared" si="0"/>
        <v>0</v>
      </c>
    </row>
    <row r="17" spans="1:14" s="133" customFormat="1" ht="15">
      <c r="A17" s="1373" t="s">
        <v>976</v>
      </c>
      <c r="B17" s="1374" t="s">
        <v>2581</v>
      </c>
      <c r="C17" s="1341">
        <f t="shared" si="0"/>
        <v>0</v>
      </c>
      <c r="D17" s="1341">
        <f t="shared" si="0"/>
        <v>0</v>
      </c>
      <c r="E17" s="1341">
        <f t="shared" si="0"/>
        <v>0</v>
      </c>
      <c r="F17" s="1341">
        <f t="shared" si="0"/>
        <v>0</v>
      </c>
      <c r="G17" s="1341">
        <f t="shared" si="0"/>
        <v>0</v>
      </c>
      <c r="H17" s="1341">
        <f t="shared" si="0"/>
        <v>0</v>
      </c>
      <c r="I17" s="1341">
        <f t="shared" si="0"/>
        <v>0</v>
      </c>
      <c r="J17" s="1341">
        <f t="shared" si="0"/>
        <v>0</v>
      </c>
      <c r="K17" s="1341">
        <f t="shared" si="0"/>
        <v>0</v>
      </c>
      <c r="L17" s="1341">
        <f t="shared" si="0"/>
        <v>0</v>
      </c>
      <c r="M17" s="1752">
        <f t="shared" si="0"/>
        <v>0</v>
      </c>
    </row>
    <row r="18" spans="1:14" s="133" customFormat="1" ht="15">
      <c r="A18" s="1373" t="s">
        <v>2081</v>
      </c>
      <c r="B18" s="1374" t="s">
        <v>2082</v>
      </c>
      <c r="C18" s="1341">
        <f t="shared" si="0"/>
        <v>0</v>
      </c>
      <c r="D18" s="1341">
        <f t="shared" si="0"/>
        <v>0</v>
      </c>
      <c r="E18" s="1341">
        <f t="shared" si="0"/>
        <v>0</v>
      </c>
      <c r="F18" s="1341">
        <f t="shared" si="0"/>
        <v>0</v>
      </c>
      <c r="G18" s="1341">
        <f t="shared" si="0"/>
        <v>0</v>
      </c>
      <c r="H18" s="1341">
        <f t="shared" si="0"/>
        <v>0</v>
      </c>
      <c r="I18" s="1341">
        <f t="shared" si="0"/>
        <v>0</v>
      </c>
      <c r="J18" s="1341">
        <f t="shared" si="0"/>
        <v>0</v>
      </c>
      <c r="K18" s="1341">
        <f t="shared" si="0"/>
        <v>0</v>
      </c>
      <c r="L18" s="1341">
        <f t="shared" si="0"/>
        <v>0</v>
      </c>
      <c r="M18" s="1752">
        <f t="shared" si="0"/>
        <v>0</v>
      </c>
    </row>
    <row r="19" spans="1:14" s="133" customFormat="1" ht="15">
      <c r="A19" s="1373" t="s">
        <v>1997</v>
      </c>
      <c r="B19" s="1374" t="s">
        <v>2083</v>
      </c>
      <c r="C19" s="1342"/>
      <c r="D19" s="1342"/>
      <c r="E19" s="1342"/>
      <c r="F19" s="1342"/>
      <c r="G19" s="1342"/>
      <c r="H19" s="1342"/>
      <c r="I19" s="1342"/>
      <c r="J19" s="1342"/>
      <c r="K19" s="1342"/>
      <c r="L19" s="1341">
        <f>H19-K19</f>
        <v>0</v>
      </c>
      <c r="M19" s="1346"/>
    </row>
    <row r="20" spans="1:14" s="133" customFormat="1" ht="15">
      <c r="A20" s="1373" t="s">
        <v>886</v>
      </c>
      <c r="B20" s="1374" t="s">
        <v>887</v>
      </c>
      <c r="C20" s="1341"/>
      <c r="D20" s="1341"/>
      <c r="E20" s="1341"/>
      <c r="F20" s="1341"/>
      <c r="G20" s="1341"/>
      <c r="H20" s="1341"/>
      <c r="I20" s="1279"/>
      <c r="J20" s="1279"/>
      <c r="K20" s="1279"/>
      <c r="L20" s="1279"/>
      <c r="M20" s="1343"/>
    </row>
    <row r="21" spans="1:14" s="133" customFormat="1" ht="15">
      <c r="A21" s="1373" t="s">
        <v>888</v>
      </c>
      <c r="B21" s="1374" t="s">
        <v>889</v>
      </c>
      <c r="C21" s="1341"/>
      <c r="D21" s="1341"/>
      <c r="E21" s="1341"/>
      <c r="F21" s="1341"/>
      <c r="G21" s="1341"/>
      <c r="H21" s="1341"/>
      <c r="I21" s="1279"/>
      <c r="J21" s="1279"/>
      <c r="K21" s="1279"/>
      <c r="L21" s="1279"/>
      <c r="M21" s="1343"/>
    </row>
    <row r="22" spans="1:14" s="133" customFormat="1" ht="15">
      <c r="A22" s="1553" t="s">
        <v>890</v>
      </c>
      <c r="B22" s="1374" t="s">
        <v>891</v>
      </c>
      <c r="C22" s="1341"/>
      <c r="D22" s="1341"/>
      <c r="E22" s="1341">
        <f>'ANEXA 5  (2)'!C10-E8</f>
        <v>0</v>
      </c>
      <c r="F22" s="1341">
        <f>'ANEXA 5  (2)'!D10-F8</f>
        <v>0</v>
      </c>
      <c r="G22" s="1341"/>
      <c r="H22" s="1341"/>
      <c r="I22" s="1279"/>
      <c r="J22" s="1279"/>
      <c r="K22" s="1279"/>
      <c r="L22" s="1279"/>
      <c r="M22" s="1343"/>
    </row>
    <row r="23" spans="1:14" s="133" customFormat="1" ht="15">
      <c r="A23" s="1554" t="s">
        <v>892</v>
      </c>
      <c r="B23" s="1555" t="s">
        <v>893</v>
      </c>
      <c r="C23" s="1364"/>
      <c r="D23" s="1364"/>
      <c r="E23" s="1364"/>
      <c r="F23" s="1364"/>
      <c r="G23" s="1364"/>
      <c r="H23" s="1364"/>
      <c r="I23" s="1347"/>
      <c r="J23" s="1347"/>
      <c r="K23" s="1347"/>
      <c r="L23" s="1347"/>
      <c r="M23" s="1348"/>
    </row>
    <row r="24" spans="1:14" s="48" customFormat="1" ht="12" customHeight="1">
      <c r="A24" s="284"/>
      <c r="B24" s="739"/>
      <c r="C24" s="284"/>
      <c r="D24" s="284"/>
      <c r="E24" s="740"/>
      <c r="F24" s="740"/>
      <c r="G24" s="740"/>
      <c r="H24" s="740"/>
      <c r="I24" s="740"/>
      <c r="J24" s="740"/>
      <c r="K24" s="1375"/>
      <c r="L24" s="742"/>
      <c r="M24" s="742"/>
      <c r="N24" s="322"/>
    </row>
    <row r="25" spans="1:14" s="48" customFormat="1" ht="12.75" customHeight="1">
      <c r="A25" s="744"/>
      <c r="B25" s="269"/>
      <c r="C25" s="721"/>
      <c r="D25" s="721"/>
      <c r="E25" s="745"/>
      <c r="F25" s="745"/>
      <c r="J25" s="147"/>
      <c r="K25" s="745" t="e">
        <v>#REF!</v>
      </c>
      <c r="L25" s="147"/>
      <c r="M25" s="147"/>
      <c r="N25" s="322"/>
    </row>
    <row r="26" spans="1:14" ht="15.75">
      <c r="A26" s="4408" t="str">
        <f>+'ANEXA 1'!B94</f>
        <v>DIRECTOR  GENERAL,</v>
      </c>
      <c r="B26" s="4408"/>
      <c r="C26" s="4408"/>
      <c r="D26" s="59"/>
      <c r="E26" s="1048" t="s">
        <v>13</v>
      </c>
      <c r="F26" s="147"/>
      <c r="G26" s="74"/>
      <c r="H26" s="74"/>
      <c r="I26" s="4093" t="str">
        <f>+'ANEXA 1'!D94</f>
        <v>DIRECTOR  EXECUTIV  ECONOMIC,</v>
      </c>
      <c r="J26" s="4093"/>
      <c r="K26" s="4093"/>
      <c r="L26" s="644"/>
      <c r="M26" s="74"/>
      <c r="N26" s="17"/>
    </row>
    <row r="27" spans="1:14" ht="15">
      <c r="I27" s="322"/>
      <c r="J27" s="322"/>
      <c r="K27" s="322"/>
    </row>
    <row r="28" spans="1:14" ht="15.75">
      <c r="A28" s="4010" t="str">
        <f>+'ANEXA 1'!B96</f>
        <v>EC.ALBU DRINA</v>
      </c>
      <c r="B28" s="4010"/>
      <c r="C28" s="4010"/>
      <c r="I28" s="4010" t="str">
        <f>+'ANEXA 1'!D96</f>
        <v>EC.BIRCU FLORINA</v>
      </c>
      <c r="J28" s="4010"/>
      <c r="K28" s="4010"/>
    </row>
    <row r="29" spans="1:14" ht="14.25">
      <c r="A29" s="4009">
        <f>'ANEXA 1'!B97</f>
        <v>0</v>
      </c>
      <c r="B29" s="4009"/>
      <c r="C29" s="4009"/>
    </row>
    <row r="30" spans="1:14">
      <c r="K30" s="1546"/>
    </row>
    <row r="31" spans="1:14">
      <c r="K31" s="1546"/>
    </row>
    <row r="32" spans="1:14">
      <c r="K32" s="1546"/>
    </row>
    <row r="33" spans="1:11" ht="15">
      <c r="A33" s="4006">
        <f>+'ANEXA 1'!B99</f>
        <v>0</v>
      </c>
      <c r="B33" s="4007"/>
      <c r="C33" s="4007"/>
      <c r="I33" s="4005">
        <f>'ANEXA 1'!D99</f>
        <v>0</v>
      </c>
      <c r="J33" s="4005"/>
      <c r="K33" s="4005"/>
    </row>
    <row r="34" spans="1:11" ht="15">
      <c r="A34" s="719"/>
      <c r="B34" s="719"/>
      <c r="C34" s="1643"/>
      <c r="K34" s="1466"/>
    </row>
    <row r="35" spans="1:11" ht="15">
      <c r="A35" s="4007">
        <f>+'ANEXA 1'!B101</f>
        <v>0</v>
      </c>
      <c r="B35" s="4007"/>
      <c r="C35" s="4007"/>
      <c r="I35" s="4005">
        <f>'ANEXA 1'!D101</f>
        <v>0</v>
      </c>
      <c r="J35" s="4005"/>
      <c r="K35" s="4005"/>
    </row>
  </sheetData>
  <sheetProtection password="CFDD" sheet="1" objects="1" scenarios="1"/>
  <mergeCells count="22">
    <mergeCell ref="A1:G1"/>
    <mergeCell ref="A2:M2"/>
    <mergeCell ref="A3:M3"/>
    <mergeCell ref="A5:A6"/>
    <mergeCell ref="B5:B6"/>
    <mergeCell ref="C5:D5"/>
    <mergeCell ref="E5:F5"/>
    <mergeCell ref="G5:G6"/>
    <mergeCell ref="H5:H6"/>
    <mergeCell ref="I5:J5"/>
    <mergeCell ref="K5:K6"/>
    <mergeCell ref="L5:L6"/>
    <mergeCell ref="M5:M6"/>
    <mergeCell ref="I35:K35"/>
    <mergeCell ref="A26:C26"/>
    <mergeCell ref="A28:C28"/>
    <mergeCell ref="A33:C33"/>
    <mergeCell ref="A35:C35"/>
    <mergeCell ref="I26:K26"/>
    <mergeCell ref="I28:K28"/>
    <mergeCell ref="I33:K33"/>
    <mergeCell ref="A29:C29"/>
  </mergeCells>
  <dataValidations count="1">
    <dataValidation allowBlank="1" showErrorMessage="1" sqref="C8:M23"/>
  </dataValidations>
  <printOptions horizontalCentered="1"/>
  <pageMargins left="0.39370078740157483" right="0.19685039370078741" top="0" bottom="0.11811023622047245" header="0.51181102362204722" footer="0.11811023622047245"/>
  <pageSetup paperSize="9" scale="60" firstPageNumber="0" orientation="landscape" horizontalDpi="300" verticalDpi="300" r:id="rId1"/>
  <headerFooter alignWithMargins="0">
    <oddFooter>&amp;C&amp;A&amp;RPagina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1">
    <tabColor indexed="24"/>
  </sheetPr>
  <dimension ref="A1:H43"/>
  <sheetViews>
    <sheetView showZeros="0" topLeftCell="A22" workbookViewId="0">
      <selection activeCell="I28" sqref="I28"/>
    </sheetView>
  </sheetViews>
  <sheetFormatPr defaultColWidth="9.140625" defaultRowHeight="15.75"/>
  <cols>
    <col min="1" max="1" width="9.140625" style="213"/>
    <col min="2" max="2" width="31.5703125" style="213" customWidth="1"/>
    <col min="3" max="3" width="24.140625" style="213" customWidth="1"/>
    <col min="4" max="4" width="23.7109375" style="213" customWidth="1"/>
    <col min="5" max="6" width="11.7109375" style="748" customWidth="1"/>
    <col min="7" max="7" width="8.42578125" style="213" customWidth="1"/>
    <col min="8" max="16384" width="9.140625" style="213"/>
  </cols>
  <sheetData>
    <row r="1" spans="1:8" s="48" customFormat="1">
      <c r="A1" s="749"/>
      <c r="E1" s="750"/>
      <c r="F1" s="750"/>
    </row>
    <row r="2" spans="1:8">
      <c r="A2" s="3989" t="str">
        <f>'ANEXA 1'!A1</f>
        <v>CASA  DE  ASIGURĂRI  DE  SĂNĂTATE MEHEDINTI</v>
      </c>
      <c r="B2" s="3989"/>
      <c r="C2" s="3989"/>
      <c r="D2" s="3989"/>
      <c r="E2" s="3989"/>
    </row>
    <row r="3" spans="1:8" s="48" customFormat="1">
      <c r="E3" s="750"/>
      <c r="F3" s="750"/>
    </row>
    <row r="4" spans="1:8" s="48" customFormat="1">
      <c r="E4" s="750"/>
      <c r="F4" s="750"/>
    </row>
    <row r="5" spans="1:8" s="48" customFormat="1">
      <c r="E5" s="750"/>
      <c r="F5" s="750"/>
    </row>
    <row r="6" spans="1:8" s="48" customFormat="1">
      <c r="E6" s="750"/>
      <c r="F6" s="750"/>
    </row>
    <row r="7" spans="1:8" s="48" customFormat="1">
      <c r="B7" s="4166" t="s">
        <v>1601</v>
      </c>
      <c r="C7" s="4166"/>
      <c r="D7" s="4166"/>
      <c r="E7" s="750"/>
      <c r="F7" s="750"/>
      <c r="H7" s="5"/>
    </row>
    <row r="8" spans="1:8" s="48" customFormat="1">
      <c r="B8" s="4166" t="s">
        <v>1602</v>
      </c>
      <c r="C8" s="4166"/>
      <c r="D8" s="4166"/>
      <c r="E8" s="750"/>
      <c r="F8" s="750"/>
      <c r="H8" s="5"/>
    </row>
    <row r="9" spans="1:8" s="48" customFormat="1">
      <c r="B9" s="4166" t="str">
        <f>'ANEXA 1'!A12</f>
        <v>la  data  de  30  IUNIE  2023</v>
      </c>
      <c r="C9" s="4166"/>
      <c r="D9" s="4166"/>
      <c r="E9" s="750"/>
      <c r="F9" s="750"/>
      <c r="H9" s="5"/>
    </row>
    <row r="10" spans="1:8" s="48" customFormat="1">
      <c r="E10" s="750"/>
      <c r="F10" s="750"/>
      <c r="H10" s="5"/>
    </row>
    <row r="11" spans="1:8" s="48" customFormat="1">
      <c r="E11" s="750"/>
      <c r="F11" s="750"/>
    </row>
    <row r="12" spans="1:8" s="48" customFormat="1" ht="16.5" thickBot="1">
      <c r="D12" s="751" t="s">
        <v>1603</v>
      </c>
      <c r="E12" s="750"/>
      <c r="F12" s="750"/>
    </row>
    <row r="13" spans="1:8" s="48" customFormat="1" ht="33" customHeight="1" thickBot="1">
      <c r="B13" s="935"/>
      <c r="C13" s="934" t="s">
        <v>1604</v>
      </c>
      <c r="D13" s="929" t="s">
        <v>1605</v>
      </c>
      <c r="E13" s="750"/>
      <c r="F13" s="750"/>
    </row>
    <row r="14" spans="1:8" s="48" customFormat="1" ht="30" customHeight="1">
      <c r="B14" s="1775" t="s">
        <v>2413</v>
      </c>
      <c r="C14" s="1659">
        <f>C15+C24</f>
        <v>239956810</v>
      </c>
      <c r="D14" s="1660">
        <f>D15+D24</f>
        <v>239735155</v>
      </c>
      <c r="E14" s="1387" t="str">
        <f>IF(C14=0," EROARE"," ")</f>
        <v xml:space="preserve"> </v>
      </c>
      <c r="F14" s="750"/>
    </row>
    <row r="15" spans="1:8" s="48" customFormat="1" ht="27.75" customHeight="1">
      <c r="B15" s="1776" t="s">
        <v>1607</v>
      </c>
      <c r="C15" s="1661">
        <f>C16+C17+C22+C18+C20+C21+C19</f>
        <v>230373810</v>
      </c>
      <c r="D15" s="930">
        <f>D16+D17+D22+D18+D20+D21+D23+D19</f>
        <v>230195178</v>
      </c>
      <c r="E15" s="750"/>
      <c r="F15" s="750"/>
    </row>
    <row r="16" spans="1:8" ht="30.75" customHeight="1">
      <c r="A16" s="48"/>
      <c r="B16" s="1777" t="s">
        <v>1608</v>
      </c>
      <c r="C16" s="1662">
        <v>2469080</v>
      </c>
      <c r="D16" s="931">
        <v>2468566</v>
      </c>
      <c r="E16" s="1387" t="str">
        <f>IF(PLATI!C12&lt;&gt;D16," EROARE"," ")</f>
        <v xml:space="preserve"> </v>
      </c>
      <c r="F16" s="750"/>
      <c r="G16" s="5"/>
    </row>
    <row r="17" spans="1:7" ht="34.5" customHeight="1">
      <c r="A17" s="48"/>
      <c r="B17" s="1778" t="s">
        <v>2288</v>
      </c>
      <c r="C17" s="1662">
        <v>167600800</v>
      </c>
      <c r="D17" s="931">
        <v>167563941</v>
      </c>
      <c r="E17" s="1387" t="str">
        <f>IF(PLATI!C34&lt;&gt;D17," EROARE"," ")</f>
        <v xml:space="preserve"> </v>
      </c>
      <c r="F17" s="750"/>
      <c r="G17" s="5"/>
    </row>
    <row r="18" spans="1:7" ht="38.25">
      <c r="A18" s="48"/>
      <c r="B18" s="1778" t="s">
        <v>1609</v>
      </c>
      <c r="C18" s="1662"/>
      <c r="D18" s="931"/>
      <c r="E18" s="1387" t="str">
        <f>IF(PLATI!C64&lt;&gt;D18," EROARE"," ")</f>
        <v xml:space="preserve"> </v>
      </c>
      <c r="F18" s="750"/>
      <c r="G18" s="5"/>
    </row>
    <row r="19" spans="1:7" ht="51">
      <c r="A19" s="48"/>
      <c r="B19" s="1778" t="s">
        <v>2126</v>
      </c>
      <c r="C19" s="1662"/>
      <c r="D19" s="931"/>
      <c r="E19" s="1387" t="str">
        <f>IF(PLATI!C83&lt;&gt;D19," EROARE"," ")</f>
        <v xml:space="preserve"> </v>
      </c>
      <c r="F19" s="750"/>
      <c r="G19" s="5"/>
    </row>
    <row r="20" spans="1:7" ht="38.25" customHeight="1">
      <c r="A20" s="48"/>
      <c r="B20" s="1778" t="s">
        <v>1610</v>
      </c>
      <c r="C20" s="1662">
        <v>60303930</v>
      </c>
      <c r="D20" s="931">
        <v>60303790</v>
      </c>
      <c r="E20" s="1387" t="str">
        <f>IF(PLATI!C66&lt;&gt;D20," EROARE"," ")</f>
        <v xml:space="preserve"> </v>
      </c>
      <c r="F20" s="750"/>
      <c r="G20" s="5"/>
    </row>
    <row r="21" spans="1:7" ht="38.25" customHeight="1">
      <c r="A21" s="48"/>
      <c r="B21" s="1778" t="s">
        <v>1611</v>
      </c>
      <c r="C21" s="1662"/>
      <c r="D21" s="931"/>
      <c r="E21" s="1387" t="str">
        <f>IF(PLATI!C96&lt;&gt;D21," EROARE"," ")</f>
        <v xml:space="preserve"> </v>
      </c>
      <c r="F21" s="750"/>
      <c r="G21" s="5"/>
    </row>
    <row r="22" spans="1:7" ht="31.5" customHeight="1">
      <c r="A22" s="48"/>
      <c r="B22" s="1777" t="s">
        <v>872</v>
      </c>
      <c r="C22" s="1662"/>
      <c r="D22" s="932"/>
      <c r="E22" s="1387" t="str">
        <f>IF(PLATI!C99&lt;&gt;D22," EROARE"," ")</f>
        <v xml:space="preserve"> </v>
      </c>
      <c r="F22" s="750"/>
      <c r="G22" s="5"/>
    </row>
    <row r="23" spans="1:7" ht="41.25" customHeight="1">
      <c r="A23" s="48"/>
      <c r="B23" s="1779" t="s">
        <v>1653</v>
      </c>
      <c r="C23" s="2094"/>
      <c r="D23" s="933">
        <v>-141119</v>
      </c>
      <c r="E23" s="1387" t="str">
        <f>IF(PLATI!D11&lt;&gt;D23," EROARE"," ")</f>
        <v xml:space="preserve"> </v>
      </c>
      <c r="F23" s="750"/>
      <c r="G23" s="5"/>
    </row>
    <row r="24" spans="1:7" ht="38.25">
      <c r="A24" s="48"/>
      <c r="B24" s="1780" t="s">
        <v>1612</v>
      </c>
      <c r="C24" s="1663">
        <f>+C25+C26</f>
        <v>9583000</v>
      </c>
      <c r="D24" s="1041">
        <f>+D25+D26</f>
        <v>9539977</v>
      </c>
      <c r="E24" s="750"/>
      <c r="F24" s="750"/>
      <c r="G24" s="48"/>
    </row>
    <row r="25" spans="1:7" ht="35.25" customHeight="1">
      <c r="A25" s="48"/>
      <c r="B25" s="1781" t="s">
        <v>1655</v>
      </c>
      <c r="C25" s="1664">
        <v>9583000</v>
      </c>
      <c r="D25" s="955">
        <v>9580511</v>
      </c>
      <c r="E25" s="1387" t="str">
        <f>IF('CONT EXECUTIE  '!K294&lt;&gt;'CREDITE BUG'!D25+'VENITURI '!D9," EROARE"," ")</f>
        <v xml:space="preserve"> </v>
      </c>
      <c r="F25" s="750"/>
      <c r="G25" s="48"/>
    </row>
    <row r="26" spans="1:7" s="48" customFormat="1" ht="42.75" customHeight="1" thickBot="1">
      <c r="B26" s="1782" t="s">
        <v>1654</v>
      </c>
      <c r="C26" s="2095"/>
      <c r="D26" s="1042">
        <v>-40534</v>
      </c>
      <c r="E26" s="1387" t="str">
        <f>IF(PLATI!D269&lt;&gt;D26," EROARE"," ")</f>
        <v xml:space="preserve"> </v>
      </c>
      <c r="F26" s="752"/>
    </row>
    <row r="27" spans="1:7" s="48" customFormat="1">
      <c r="B27" s="91"/>
      <c r="C27" s="213"/>
      <c r="D27" s="213"/>
      <c r="E27" s="629"/>
      <c r="F27" s="752"/>
    </row>
    <row r="28" spans="1:7" s="48" customFormat="1">
      <c r="B28" s="618"/>
      <c r="C28" s="618"/>
      <c r="D28" s="213"/>
      <c r="E28" s="629"/>
      <c r="F28" s="752"/>
    </row>
    <row r="29" spans="1:7" s="48" customFormat="1" ht="15.75" customHeight="1">
      <c r="A29" s="4148" t="str">
        <f>'ANEXA 1'!B94</f>
        <v>DIRECTOR  GENERAL,</v>
      </c>
      <c r="B29" s="4148"/>
      <c r="C29" s="4003" t="str">
        <f>'ANEXA 1'!D94</f>
        <v>DIRECTOR  EXECUTIV  ECONOMIC,</v>
      </c>
      <c r="D29" s="4003"/>
      <c r="E29" s="629"/>
      <c r="F29" s="752"/>
    </row>
    <row r="30" spans="1:7">
      <c r="C30" s="1876"/>
      <c r="D30" s="1876"/>
    </row>
    <row r="31" spans="1:7">
      <c r="A31" s="4473" t="str">
        <f>'ANEXA 1'!B96</f>
        <v>EC.ALBU DRINA</v>
      </c>
      <c r="B31" s="4473"/>
      <c r="C31" s="4473" t="str">
        <f>'ANEXA 1'!D96</f>
        <v>EC.BIRCU FLORINA</v>
      </c>
      <c r="D31" s="4473"/>
    </row>
    <row r="32" spans="1:7">
      <c r="A32" s="4056">
        <f>'ANEXA 1'!B97</f>
        <v>0</v>
      </c>
      <c r="B32" s="4056"/>
    </row>
    <row r="33" spans="1:4" s="213" customFormat="1" ht="12.75"/>
    <row r="34" spans="1:4" s="213" customFormat="1" ht="15">
      <c r="A34" s="4550">
        <f>+'ANEXA 1'!B99</f>
        <v>0</v>
      </c>
      <c r="B34" s="4551"/>
      <c r="C34" s="4001">
        <f>'ANEXA 1'!D99</f>
        <v>0</v>
      </c>
      <c r="D34" s="4001"/>
    </row>
    <row r="35" spans="1:4" s="213" customFormat="1" ht="12.75"/>
    <row r="36" spans="1:4" s="213" customFormat="1" ht="15">
      <c r="A36" s="4551">
        <f>+'ANEXA 1'!B101</f>
        <v>0</v>
      </c>
      <c r="B36" s="4551"/>
      <c r="C36" s="4001">
        <f>'ANEXA 1'!D101</f>
        <v>0</v>
      </c>
      <c r="D36" s="4001"/>
    </row>
    <row r="37" spans="1:4" s="213" customFormat="1" ht="12.75"/>
    <row r="38" spans="1:4" s="213" customFormat="1" ht="12.75" customHeight="1"/>
    <row r="39" spans="1:4" s="213" customFormat="1" ht="15.75" customHeight="1"/>
    <row r="40" spans="1:4" s="213" customFormat="1" ht="12.75" customHeight="1"/>
    <row r="41" spans="1:4" s="213" customFormat="1" ht="12.75" customHeight="1"/>
    <row r="42" spans="1:4" s="213" customFormat="1" ht="12.75" customHeight="1"/>
    <row r="43" spans="1:4" s="213" customFormat="1" ht="12.75" customHeight="1"/>
  </sheetData>
  <sheetProtection password="CFDD" sheet="1" objects="1" scenarios="1"/>
  <mergeCells count="13">
    <mergeCell ref="C34:D34"/>
    <mergeCell ref="C36:D36"/>
    <mergeCell ref="A2:E2"/>
    <mergeCell ref="B7:D7"/>
    <mergeCell ref="B8:D8"/>
    <mergeCell ref="B9:D9"/>
    <mergeCell ref="A32:B32"/>
    <mergeCell ref="A31:B31"/>
    <mergeCell ref="C31:D31"/>
    <mergeCell ref="A29:B29"/>
    <mergeCell ref="C29:D29"/>
    <mergeCell ref="A34:B34"/>
    <mergeCell ref="A36:B36"/>
  </mergeCells>
  <phoneticPr fontId="0" type="noConversion"/>
  <dataValidations count="1">
    <dataValidation type="whole" allowBlank="1" showErrorMessage="1" sqref="C14:D25">
      <formula1>-9.99999999999999E+23</formula1>
      <formula2>9.99999999999999E+23</formula2>
    </dataValidation>
  </dataValidations>
  <printOptions horizontalCentered="1"/>
  <pageMargins left="0.55118110236220474" right="0.31496062992125984" top="0.51181102362204722" bottom="0.51181102362204722" header="0.51181102362204722" footer="0.51181102362204722"/>
  <pageSetup paperSize="9" scale="80" firstPageNumber="0"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33"/>
  <sheetViews>
    <sheetView showZeros="0" workbookViewId="0">
      <selection activeCell="N22" sqref="N22"/>
    </sheetView>
  </sheetViews>
  <sheetFormatPr defaultColWidth="9.140625" defaultRowHeight="15.75"/>
  <cols>
    <col min="1" max="1" width="9.140625" style="213"/>
    <col min="2" max="2" width="31.5703125" style="213" customWidth="1"/>
    <col min="3" max="3" width="24.140625" style="213" customWidth="1"/>
    <col min="4" max="4" width="23.7109375" style="213" customWidth="1"/>
    <col min="5" max="6" width="11.7109375" style="748" customWidth="1"/>
    <col min="7" max="7" width="8.42578125" style="213" customWidth="1"/>
    <col min="8" max="16384" width="9.140625" style="213"/>
  </cols>
  <sheetData>
    <row r="1" spans="1:8" s="48" customFormat="1">
      <c r="A1" s="749"/>
      <c r="E1" s="750"/>
      <c r="F1" s="750"/>
    </row>
    <row r="2" spans="1:8">
      <c r="A2" s="3989" t="str">
        <f>'ANEXA 1'!A1:E1</f>
        <v>CASA  DE  ASIGURĂRI  DE  SĂNĂTATE MEHEDINTI</v>
      </c>
      <c r="B2" s="3989"/>
      <c r="C2" s="3989"/>
      <c r="D2" s="3989"/>
      <c r="E2" s="3989"/>
    </row>
    <row r="3" spans="1:8" s="48" customFormat="1">
      <c r="E3" s="750"/>
      <c r="F3" s="750"/>
    </row>
    <row r="4" spans="1:8" s="48" customFormat="1">
      <c r="E4" s="750"/>
      <c r="F4" s="750"/>
    </row>
    <row r="5" spans="1:8" s="48" customFormat="1">
      <c r="E5" s="750"/>
      <c r="F5" s="750"/>
    </row>
    <row r="6" spans="1:8" s="48" customFormat="1">
      <c r="E6" s="750"/>
      <c r="F6" s="750"/>
    </row>
    <row r="7" spans="1:8" s="48" customFormat="1">
      <c r="B7" s="4166" t="s">
        <v>1601</v>
      </c>
      <c r="C7" s="4166"/>
      <c r="D7" s="4166"/>
      <c r="E7" s="750"/>
      <c r="F7" s="750"/>
      <c r="H7" s="5"/>
    </row>
    <row r="8" spans="1:8" s="48" customFormat="1">
      <c r="B8" s="4166" t="s">
        <v>1602</v>
      </c>
      <c r="C8" s="4166"/>
      <c r="D8" s="4166"/>
      <c r="E8" s="750"/>
      <c r="F8" s="750"/>
      <c r="H8" s="5"/>
    </row>
    <row r="9" spans="1:8" s="48" customFormat="1">
      <c r="B9" s="4166" t="s">
        <v>2194</v>
      </c>
      <c r="C9" s="4166"/>
      <c r="D9" s="4166"/>
      <c r="E9" s="750"/>
      <c r="F9" s="750"/>
      <c r="H9" s="5"/>
    </row>
    <row r="10" spans="1:8" s="48" customFormat="1">
      <c r="B10" s="4166" t="str">
        <f>'ANEXA 1'!A12</f>
        <v>la  data  de  30  IUNIE  2023</v>
      </c>
      <c r="C10" s="4166"/>
      <c r="D10" s="4166"/>
      <c r="E10" s="750"/>
      <c r="F10" s="750"/>
      <c r="H10" s="5"/>
    </row>
    <row r="11" spans="1:8" s="48" customFormat="1">
      <c r="E11" s="750"/>
      <c r="F11" s="750"/>
      <c r="H11" s="5"/>
    </row>
    <row r="12" spans="1:8" s="48" customFormat="1">
      <c r="E12" s="750"/>
      <c r="F12" s="750"/>
    </row>
    <row r="13" spans="1:8" s="48" customFormat="1" ht="16.5" thickBot="1">
      <c r="D13" s="751" t="s">
        <v>1603</v>
      </c>
      <c r="E13" s="750"/>
      <c r="F13" s="750"/>
    </row>
    <row r="14" spans="1:8" s="48" customFormat="1" ht="31.9" customHeight="1">
      <c r="B14" s="935"/>
      <c r="C14" s="934" t="s">
        <v>1604</v>
      </c>
      <c r="D14" s="929" t="s">
        <v>1605</v>
      </c>
      <c r="E14" s="750"/>
      <c r="F14" s="750"/>
    </row>
    <row r="15" spans="1:8" s="48" customFormat="1" ht="25.5">
      <c r="B15" s="1757" t="s">
        <v>1606</v>
      </c>
      <c r="C15" s="1758">
        <f>C16</f>
        <v>0</v>
      </c>
      <c r="D15" s="1759">
        <f>D16</f>
        <v>0</v>
      </c>
      <c r="E15" s="750" t="s">
        <v>13</v>
      </c>
      <c r="F15" s="750"/>
    </row>
    <row r="16" spans="1:8" ht="51.75" thickBot="1">
      <c r="A16" s="48"/>
      <c r="B16" s="1760" t="s">
        <v>2126</v>
      </c>
      <c r="C16" s="1761"/>
      <c r="D16" s="1762"/>
      <c r="E16" s="1763" t="str">
        <f>IF('CONT EXECUTIE   (2)'!K8&lt;&gt;D16," EROARE"," ")</f>
        <v xml:space="preserve"> </v>
      </c>
      <c r="F16" s="750"/>
      <c r="G16" s="5"/>
    </row>
    <row r="17" spans="1:6" s="48" customFormat="1">
      <c r="B17" s="1756"/>
      <c r="C17" s="213"/>
      <c r="D17" s="213"/>
      <c r="E17" s="629"/>
      <c r="F17" s="752"/>
    </row>
    <row r="18" spans="1:6" s="48" customFormat="1">
      <c r="B18" s="618"/>
      <c r="C18" s="618"/>
      <c r="D18" s="213"/>
      <c r="E18" s="629"/>
      <c r="F18" s="752"/>
    </row>
    <row r="19" spans="1:6" s="48" customFormat="1">
      <c r="A19" s="4408" t="str">
        <f>'ANEXA 1'!B94</f>
        <v>DIRECTOR  GENERAL,</v>
      </c>
      <c r="B19" s="4148"/>
      <c r="C19" s="4003" t="str">
        <f>'ANEXA 1'!D94</f>
        <v>DIRECTOR  EXECUTIV  ECONOMIC,</v>
      </c>
      <c r="D19" s="4003"/>
      <c r="E19" s="629"/>
      <c r="F19" s="752"/>
    </row>
    <row r="20" spans="1:6">
      <c r="C20" s="1644"/>
      <c r="D20" s="1644"/>
    </row>
    <row r="21" spans="1:6">
      <c r="A21" s="4473" t="str">
        <f>'ANEXA 1'!B96</f>
        <v>EC.ALBU DRINA</v>
      </c>
      <c r="B21" s="4473"/>
      <c r="C21" s="4473" t="str">
        <f>'ANEXA 1'!D96</f>
        <v>EC.BIRCU FLORINA</v>
      </c>
      <c r="D21" s="4473"/>
    </row>
    <row r="22" spans="1:6">
      <c r="A22" s="4056">
        <f>'ANEXA 1'!B97</f>
        <v>0</v>
      </c>
      <c r="B22" s="4056"/>
    </row>
    <row r="24" spans="1:6" ht="15">
      <c r="A24" s="4550">
        <f>'ANEXA 1'!B99</f>
        <v>0</v>
      </c>
      <c r="B24" s="4551"/>
      <c r="C24" s="4001">
        <f>'ANEXA 1'!D99</f>
        <v>0</v>
      </c>
      <c r="D24" s="4001"/>
      <c r="E24" s="213"/>
      <c r="F24" s="213"/>
    </row>
    <row r="26" spans="1:6" ht="15">
      <c r="A26" s="4551">
        <f>'ANEXA 1'!B101</f>
        <v>0</v>
      </c>
      <c r="B26" s="4551"/>
      <c r="C26" s="4001">
        <f>'ANEXA 1'!D101</f>
        <v>0</v>
      </c>
      <c r="D26" s="4001"/>
      <c r="E26" s="213"/>
      <c r="F26" s="213"/>
    </row>
    <row r="28" spans="1:6" ht="12.75">
      <c r="E28" s="213"/>
      <c r="F28" s="213"/>
    </row>
    <row r="29" spans="1:6" ht="12.75">
      <c r="E29" s="213"/>
      <c r="F29" s="213"/>
    </row>
    <row r="30" spans="1:6" ht="12.75">
      <c r="E30" s="213"/>
      <c r="F30" s="213"/>
    </row>
    <row r="31" spans="1:6" ht="12.75">
      <c r="E31" s="213"/>
      <c r="F31" s="213"/>
    </row>
    <row r="32" spans="1:6" ht="12.75">
      <c r="E32" s="213"/>
      <c r="F32" s="213"/>
    </row>
    <row r="33" s="213" customFormat="1" ht="12.75"/>
  </sheetData>
  <sheetProtection password="CFDD" sheet="1" objects="1" scenarios="1"/>
  <mergeCells count="14">
    <mergeCell ref="A26:B26"/>
    <mergeCell ref="C26:D26"/>
    <mergeCell ref="A2:E2"/>
    <mergeCell ref="B7:D7"/>
    <mergeCell ref="B8:D8"/>
    <mergeCell ref="B9:D9"/>
    <mergeCell ref="B10:D10"/>
    <mergeCell ref="A19:B19"/>
    <mergeCell ref="C19:D19"/>
    <mergeCell ref="A21:B21"/>
    <mergeCell ref="C21:D21"/>
    <mergeCell ref="A22:B22"/>
    <mergeCell ref="A24:B24"/>
    <mergeCell ref="C24:D24"/>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2">
    <tabColor indexed="24"/>
  </sheetPr>
  <dimension ref="A1:C47"/>
  <sheetViews>
    <sheetView showZeros="0" workbookViewId="0">
      <selection sqref="A1:XFD1048576"/>
    </sheetView>
  </sheetViews>
  <sheetFormatPr defaultColWidth="9.140625" defaultRowHeight="12.75"/>
  <cols>
    <col min="1" max="1" width="82.28515625" style="1" customWidth="1"/>
    <col min="2" max="2" width="20.7109375" style="1" customWidth="1"/>
    <col min="3" max="16384" width="9.140625" style="1"/>
  </cols>
  <sheetData>
    <row r="1" spans="1:2" ht="15.75">
      <c r="A1" s="656" t="str">
        <f>+'ANEXA 1'!A1:E1</f>
        <v>CASA  DE  ASIGURĂRI  DE  SĂNĂTATE MEHEDINTI</v>
      </c>
    </row>
    <row r="4" spans="1:2" ht="20.25" customHeight="1">
      <c r="A4" s="4552" t="s">
        <v>2185</v>
      </c>
      <c r="B4" s="4552"/>
    </row>
    <row r="5" spans="1:2" ht="26.45" customHeight="1">
      <c r="A5" s="4553" t="str">
        <f>'ANEXA 1'!A12</f>
        <v>la  data  de  30  IUNIE  2023</v>
      </c>
      <c r="B5" s="4553"/>
    </row>
    <row r="6" spans="1:2" ht="24" customHeight="1"/>
    <row r="7" spans="1:2" s="615" customFormat="1" ht="39" customHeight="1">
      <c r="A7" s="2340" t="s">
        <v>1613</v>
      </c>
      <c r="B7" s="2341" t="s">
        <v>1614</v>
      </c>
    </row>
    <row r="8" spans="1:2" ht="30" customHeight="1">
      <c r="A8" s="2338" t="s">
        <v>1615</v>
      </c>
      <c r="B8" s="2339"/>
    </row>
    <row r="9" spans="1:2" ht="30" customHeight="1">
      <c r="A9" s="753" t="s">
        <v>1616</v>
      </c>
      <c r="B9" s="22"/>
    </row>
    <row r="10" spans="1:2" ht="30" customHeight="1">
      <c r="A10" s="753" t="s">
        <v>1617</v>
      </c>
      <c r="B10" s="22"/>
    </row>
    <row r="11" spans="1:2" ht="30" customHeight="1">
      <c r="A11" s="753" t="s">
        <v>1618</v>
      </c>
      <c r="B11" s="22">
        <v>21950</v>
      </c>
    </row>
    <row r="12" spans="1:2" ht="30" customHeight="1">
      <c r="A12" s="753" t="s">
        <v>1619</v>
      </c>
      <c r="B12" s="22">
        <v>2000</v>
      </c>
    </row>
    <row r="13" spans="1:2" ht="30" customHeight="1">
      <c r="A13" s="753" t="s">
        <v>1620</v>
      </c>
      <c r="B13" s="22">
        <v>5250</v>
      </c>
    </row>
    <row r="14" spans="1:2" ht="39" customHeight="1">
      <c r="A14" s="753" t="s">
        <v>1621</v>
      </c>
      <c r="B14" s="22"/>
    </row>
    <row r="15" spans="1:2" ht="38.450000000000003" customHeight="1">
      <c r="A15" s="753" t="s">
        <v>1622</v>
      </c>
      <c r="B15" s="22"/>
    </row>
    <row r="16" spans="1:2" ht="53.45" customHeight="1">
      <c r="A16" s="753" t="s">
        <v>1623</v>
      </c>
      <c r="B16" s="22">
        <v>36900</v>
      </c>
    </row>
    <row r="17" spans="1:2" ht="30" customHeight="1">
      <c r="A17" s="753" t="s">
        <v>1624</v>
      </c>
      <c r="B17" s="22"/>
    </row>
    <row r="18" spans="1:2" ht="30" customHeight="1">
      <c r="A18" s="753" t="s">
        <v>1625</v>
      </c>
      <c r="B18" s="22"/>
    </row>
    <row r="19" spans="1:2" ht="30" customHeight="1">
      <c r="A19" s="753" t="s">
        <v>1626</v>
      </c>
      <c r="B19" s="22"/>
    </row>
    <row r="20" spans="1:2" ht="28.15" customHeight="1">
      <c r="A20" s="754" t="s">
        <v>1627</v>
      </c>
      <c r="B20" s="630"/>
    </row>
    <row r="21" spans="1:2" ht="26.45" customHeight="1">
      <c r="A21" s="755" t="s">
        <v>231</v>
      </c>
      <c r="B21" s="756">
        <f>SUM(B8:B20)</f>
        <v>66100</v>
      </c>
    </row>
    <row r="24" spans="1:2" ht="15.75">
      <c r="A24" s="309" t="str">
        <f>'ANEXA 1'!B94</f>
        <v>DIRECTOR  GENERAL,</v>
      </c>
    </row>
    <row r="25" spans="1:2">
      <c r="A25" s="149"/>
    </row>
    <row r="26" spans="1:2" ht="15.75">
      <c r="A26" s="772" t="str">
        <f>'ANEXA 1'!B96</f>
        <v>EC.ALBU DRINA</v>
      </c>
    </row>
    <row r="27" spans="1:2" ht="14.25">
      <c r="A27" s="1052">
        <f>'ANEXA 1'!B97</f>
        <v>0</v>
      </c>
    </row>
    <row r="28" spans="1:2">
      <c r="A28" s="149"/>
    </row>
    <row r="29" spans="1:2">
      <c r="A29" s="149"/>
    </row>
    <row r="30" spans="1:2">
      <c r="A30" s="149"/>
    </row>
    <row r="31" spans="1:2" ht="15">
      <c r="A31" s="1587">
        <f>+'ANEXA 1'!B99</f>
        <v>0</v>
      </c>
    </row>
    <row r="32" spans="1:2" ht="15">
      <c r="A32" s="1571"/>
    </row>
    <row r="33" spans="1:3" ht="15">
      <c r="A33" s="1571">
        <f>+'ANEXA 1'!B101</f>
        <v>0</v>
      </c>
    </row>
    <row r="37" spans="1:3">
      <c r="B37" s="1054"/>
    </row>
    <row r="38" spans="1:3" ht="15.75">
      <c r="A38" s="4018" t="str">
        <f>'ANEXA 1'!D94</f>
        <v>DIRECTOR  EXECUTIV  ECONOMIC,</v>
      </c>
      <c r="B38" s="4018"/>
      <c r="C38" s="4018"/>
    </row>
    <row r="39" spans="1:3" ht="15">
      <c r="A39" s="1866"/>
      <c r="B39" s="1866"/>
      <c r="C39" s="1866"/>
    </row>
    <row r="40" spans="1:3" ht="15.75">
      <c r="A40" s="4018" t="str">
        <f>'ANEXA 1'!D96</f>
        <v>EC.BIRCU FLORINA</v>
      </c>
      <c r="B40" s="4018"/>
      <c r="C40" s="4018"/>
    </row>
    <row r="45" spans="1:3">
      <c r="A45" s="4017">
        <f>'ANEXA 1'!D99</f>
        <v>0</v>
      </c>
      <c r="B45" s="4017"/>
      <c r="C45" s="4017"/>
    </row>
    <row r="47" spans="1:3">
      <c r="A47" s="4017">
        <f>'ANEXA 1'!D101</f>
        <v>0</v>
      </c>
      <c r="B47" s="4017"/>
      <c r="C47" s="4017"/>
    </row>
  </sheetData>
  <sheetProtection password="CFDD" sheet="1" objects="1" scenarios="1"/>
  <mergeCells count="6">
    <mergeCell ref="A4:B4"/>
    <mergeCell ref="A38:C38"/>
    <mergeCell ref="A40:C40"/>
    <mergeCell ref="A45:C45"/>
    <mergeCell ref="A47:C47"/>
    <mergeCell ref="A5:B5"/>
  </mergeCells>
  <phoneticPr fontId="0" type="noConversion"/>
  <dataValidations count="1">
    <dataValidation type="whole" allowBlank="1" showErrorMessage="1" sqref="B8:B20">
      <formula1>-9.99999999999999E+21</formula1>
      <formula2>9.99999999999999E+21</formula2>
    </dataValidation>
  </dataValidations>
  <pageMargins left="0.74803149606299213" right="0.31496062992125984" top="0.35433070866141736" bottom="0.51181102362204722" header="0.51181102362204722" footer="0.51181102362204722"/>
  <pageSetup paperSize="9" scale="75" firstPageNumber="0" orientation="portrait" r:id="rId1"/>
  <headerFooter alignWithMargins="0">
    <oddFooter>&amp;A&amp;RPagina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3">
    <tabColor indexed="10"/>
  </sheetPr>
  <dimension ref="A1:M109"/>
  <sheetViews>
    <sheetView showZeros="0" workbookViewId="0">
      <selection activeCell="G31" sqref="G31"/>
    </sheetView>
  </sheetViews>
  <sheetFormatPr defaultColWidth="9" defaultRowHeight="12.75"/>
  <cols>
    <col min="1" max="1" width="5.85546875" style="557" customWidth="1"/>
    <col min="2" max="2" width="63.140625" customWidth="1"/>
    <col min="3" max="3" width="17" customWidth="1"/>
    <col min="4" max="6" width="9" customWidth="1"/>
    <col min="7" max="7" width="9.42578125" customWidth="1"/>
  </cols>
  <sheetData>
    <row r="1" spans="1:13" s="1" customFormat="1" ht="15">
      <c r="A1" s="4554" t="str">
        <f>+'ANEXA 1'!A1</f>
        <v>CASA  DE  ASIGURĂRI  DE  SĂNĂTATE MEHEDINTI</v>
      </c>
      <c r="B1" s="4554"/>
      <c r="C1" s="4554"/>
      <c r="D1" s="252"/>
      <c r="E1" s="252"/>
      <c r="F1" s="252"/>
      <c r="G1" s="252"/>
      <c r="H1" s="252"/>
      <c r="I1" s="252"/>
      <c r="J1" s="252"/>
      <c r="K1" s="252"/>
      <c r="L1" s="252"/>
      <c r="M1" s="252"/>
    </row>
    <row r="2" spans="1:13" s="1" customFormat="1">
      <c r="A2" s="2"/>
    </row>
    <row r="3" spans="1:13" s="1" customFormat="1">
      <c r="A3" s="2"/>
      <c r="B3" s="4319" t="s">
        <v>2087</v>
      </c>
      <c r="C3" s="4319"/>
      <c r="D3" s="513"/>
      <c r="E3" s="513"/>
      <c r="F3" s="513"/>
      <c r="G3" s="513"/>
      <c r="H3" s="513"/>
      <c r="I3" s="513"/>
      <c r="J3" s="513"/>
    </row>
    <row r="4" spans="1:13" s="1" customFormat="1">
      <c r="A4" s="2"/>
      <c r="B4" s="4319" t="s">
        <v>2414</v>
      </c>
      <c r="C4" s="4319"/>
      <c r="D4" s="513"/>
      <c r="E4" s="513"/>
      <c r="F4" s="513"/>
      <c r="G4" s="513"/>
      <c r="H4" s="513"/>
      <c r="I4" s="513"/>
      <c r="J4" s="513"/>
    </row>
    <row r="5" spans="1:13" s="1" customFormat="1">
      <c r="A5" s="2"/>
      <c r="B5" s="4319" t="s">
        <v>1628</v>
      </c>
      <c r="C5" s="4319"/>
    </row>
    <row r="6" spans="1:13" s="1" customFormat="1">
      <c r="A6" s="2"/>
      <c r="C6" s="657" t="s">
        <v>428</v>
      </c>
    </row>
    <row r="7" spans="1:13" s="1" customFormat="1" ht="27.75" customHeight="1">
      <c r="A7" s="1259" t="s">
        <v>87</v>
      </c>
      <c r="B7" s="1260" t="s">
        <v>1629</v>
      </c>
      <c r="C7" s="1261" t="s">
        <v>1630</v>
      </c>
    </row>
    <row r="8" spans="1:13" s="1" customFormat="1" ht="19.5" customHeight="1">
      <c r="A8" s="1263"/>
      <c r="B8" s="1264" t="s">
        <v>1631</v>
      </c>
      <c r="C8" s="1265">
        <f>SUM(C9:C76)</f>
        <v>0</v>
      </c>
      <c r="E8" s="757" t="str">
        <f>IF(C8=0,"EROARE"," ")</f>
        <v>EROARE</v>
      </c>
    </row>
    <row r="9" spans="1:13" s="149" customFormat="1">
      <c r="A9" s="1266">
        <v>1</v>
      </c>
      <c r="B9" s="759"/>
      <c r="C9" s="1267"/>
    </row>
    <row r="10" spans="1:13" s="149" customFormat="1">
      <c r="A10" s="1266">
        <v>2</v>
      </c>
      <c r="B10" s="759"/>
      <c r="C10" s="1267"/>
    </row>
    <row r="11" spans="1:13" s="149" customFormat="1">
      <c r="A11" s="1266">
        <f t="shared" ref="A11:A76" si="0">+A10+1</f>
        <v>3</v>
      </c>
      <c r="B11" s="759"/>
      <c r="C11" s="1267"/>
    </row>
    <row r="12" spans="1:13" s="149" customFormat="1">
      <c r="A12" s="1266">
        <f t="shared" si="0"/>
        <v>4</v>
      </c>
      <c r="B12" s="759"/>
      <c r="C12" s="1267"/>
    </row>
    <row r="13" spans="1:13" s="149" customFormat="1">
      <c r="A13" s="1266">
        <f t="shared" si="0"/>
        <v>5</v>
      </c>
      <c r="B13" s="759"/>
      <c r="C13" s="1267"/>
    </row>
    <row r="14" spans="1:13" s="149" customFormat="1">
      <c r="A14" s="1266">
        <f t="shared" si="0"/>
        <v>6</v>
      </c>
      <c r="B14" s="759"/>
      <c r="C14" s="1267"/>
    </row>
    <row r="15" spans="1:13" s="149" customFormat="1">
      <c r="A15" s="1266">
        <f t="shared" si="0"/>
        <v>7</v>
      </c>
      <c r="B15" s="759"/>
      <c r="C15" s="1267"/>
    </row>
    <row r="16" spans="1:13" s="149" customFormat="1">
      <c r="A16" s="1266">
        <f t="shared" si="0"/>
        <v>8</v>
      </c>
      <c r="B16" s="759"/>
      <c r="C16" s="1267"/>
    </row>
    <row r="17" spans="1:3" s="149" customFormat="1">
      <c r="A17" s="1266">
        <f t="shared" si="0"/>
        <v>9</v>
      </c>
      <c r="B17" s="759"/>
      <c r="C17" s="1267"/>
    </row>
    <row r="18" spans="1:3" s="149" customFormat="1">
      <c r="A18" s="1266">
        <f t="shared" si="0"/>
        <v>10</v>
      </c>
      <c r="B18" s="759"/>
      <c r="C18" s="1267"/>
    </row>
    <row r="19" spans="1:3" s="149" customFormat="1">
      <c r="A19" s="1266">
        <f t="shared" si="0"/>
        <v>11</v>
      </c>
      <c r="B19" s="759"/>
      <c r="C19" s="1267"/>
    </row>
    <row r="20" spans="1:3" s="149" customFormat="1">
      <c r="A20" s="1266">
        <f t="shared" si="0"/>
        <v>12</v>
      </c>
      <c r="B20" s="759"/>
      <c r="C20" s="1267"/>
    </row>
    <row r="21" spans="1:3" s="149" customFormat="1">
      <c r="A21" s="1266">
        <f t="shared" si="0"/>
        <v>13</v>
      </c>
      <c r="B21" s="759"/>
      <c r="C21" s="1267"/>
    </row>
    <row r="22" spans="1:3" s="149" customFormat="1">
      <c r="A22" s="1266">
        <f t="shared" si="0"/>
        <v>14</v>
      </c>
      <c r="B22" s="759"/>
      <c r="C22" s="1267"/>
    </row>
    <row r="23" spans="1:3" s="149" customFormat="1">
      <c r="A23" s="1266">
        <f t="shared" si="0"/>
        <v>15</v>
      </c>
      <c r="B23" s="759"/>
      <c r="C23" s="1267"/>
    </row>
    <row r="24" spans="1:3" s="149" customFormat="1">
      <c r="A24" s="1266">
        <f t="shared" si="0"/>
        <v>16</v>
      </c>
      <c r="B24" s="759"/>
      <c r="C24" s="1267"/>
    </row>
    <row r="25" spans="1:3" s="149" customFormat="1">
      <c r="A25" s="1266">
        <f t="shared" si="0"/>
        <v>17</v>
      </c>
      <c r="B25" s="759"/>
      <c r="C25" s="1267"/>
    </row>
    <row r="26" spans="1:3" s="149" customFormat="1">
      <c r="A26" s="1266">
        <f t="shared" si="0"/>
        <v>18</v>
      </c>
      <c r="B26" s="759"/>
      <c r="C26" s="1267"/>
    </row>
    <row r="27" spans="1:3" s="149" customFormat="1">
      <c r="A27" s="1266">
        <f t="shared" si="0"/>
        <v>19</v>
      </c>
      <c r="B27" s="759"/>
      <c r="C27" s="1267"/>
    </row>
    <row r="28" spans="1:3" s="149" customFormat="1">
      <c r="A28" s="1266">
        <f t="shared" si="0"/>
        <v>20</v>
      </c>
      <c r="B28" s="759"/>
      <c r="C28" s="1267"/>
    </row>
    <row r="29" spans="1:3" s="149" customFormat="1">
      <c r="A29" s="1266">
        <f t="shared" si="0"/>
        <v>21</v>
      </c>
      <c r="B29" s="759"/>
      <c r="C29" s="1267"/>
    </row>
    <row r="30" spans="1:3" s="149" customFormat="1">
      <c r="A30" s="1266">
        <f t="shared" si="0"/>
        <v>22</v>
      </c>
      <c r="B30" s="759"/>
      <c r="C30" s="1267"/>
    </row>
    <row r="31" spans="1:3" s="149" customFormat="1">
      <c r="A31" s="1266">
        <f t="shared" si="0"/>
        <v>23</v>
      </c>
      <c r="B31" s="759"/>
      <c r="C31" s="1267"/>
    </row>
    <row r="32" spans="1:3" s="149" customFormat="1">
      <c r="A32" s="1266">
        <f t="shared" si="0"/>
        <v>24</v>
      </c>
      <c r="B32" s="759"/>
      <c r="C32" s="1267"/>
    </row>
    <row r="33" spans="1:3" s="149" customFormat="1">
      <c r="A33" s="1266">
        <f t="shared" si="0"/>
        <v>25</v>
      </c>
      <c r="B33" s="759"/>
      <c r="C33" s="1268"/>
    </row>
    <row r="34" spans="1:3" s="149" customFormat="1">
      <c r="A34" s="1266">
        <f t="shared" si="0"/>
        <v>26</v>
      </c>
      <c r="B34" s="759"/>
      <c r="C34" s="1268"/>
    </row>
    <row r="35" spans="1:3" s="149" customFormat="1">
      <c r="A35" s="1266">
        <f t="shared" si="0"/>
        <v>27</v>
      </c>
      <c r="B35" s="759"/>
      <c r="C35" s="1268"/>
    </row>
    <row r="36" spans="1:3" s="149" customFormat="1">
      <c r="A36" s="1266">
        <f t="shared" si="0"/>
        <v>28</v>
      </c>
      <c r="B36" s="759"/>
      <c r="C36" s="1268"/>
    </row>
    <row r="37" spans="1:3" s="149" customFormat="1">
      <c r="A37" s="1266">
        <f t="shared" si="0"/>
        <v>29</v>
      </c>
      <c r="B37" s="759"/>
      <c r="C37" s="1268"/>
    </row>
    <row r="38" spans="1:3" s="149" customFormat="1">
      <c r="A38" s="1266">
        <f t="shared" si="0"/>
        <v>30</v>
      </c>
      <c r="B38" s="759"/>
      <c r="C38" s="1268"/>
    </row>
    <row r="39" spans="1:3" s="149" customFormat="1">
      <c r="A39" s="1266">
        <f t="shared" si="0"/>
        <v>31</v>
      </c>
      <c r="B39" s="759"/>
      <c r="C39" s="1268"/>
    </row>
    <row r="40" spans="1:3" s="149" customFormat="1">
      <c r="A40" s="1266">
        <f t="shared" si="0"/>
        <v>32</v>
      </c>
      <c r="B40" s="759"/>
      <c r="C40" s="1268"/>
    </row>
    <row r="41" spans="1:3" s="149" customFormat="1">
      <c r="A41" s="1266">
        <f t="shared" si="0"/>
        <v>33</v>
      </c>
      <c r="B41" s="759"/>
      <c r="C41" s="1268"/>
    </row>
    <row r="42" spans="1:3" s="149" customFormat="1">
      <c r="A42" s="1266">
        <f t="shared" si="0"/>
        <v>34</v>
      </c>
      <c r="B42" s="759"/>
      <c r="C42" s="1268"/>
    </row>
    <row r="43" spans="1:3" s="149" customFormat="1">
      <c r="A43" s="1266">
        <f t="shared" si="0"/>
        <v>35</v>
      </c>
      <c r="B43" s="759"/>
      <c r="C43" s="1268"/>
    </row>
    <row r="44" spans="1:3" s="149" customFormat="1">
      <c r="A44" s="1266">
        <f t="shared" si="0"/>
        <v>36</v>
      </c>
      <c r="B44" s="759"/>
      <c r="C44" s="1268"/>
    </row>
    <row r="45" spans="1:3" s="149" customFormat="1">
      <c r="A45" s="1266">
        <f t="shared" si="0"/>
        <v>37</v>
      </c>
      <c r="B45" s="759"/>
      <c r="C45" s="1268"/>
    </row>
    <row r="46" spans="1:3" s="149" customFormat="1">
      <c r="A46" s="1266">
        <f t="shared" si="0"/>
        <v>38</v>
      </c>
      <c r="B46" s="759"/>
      <c r="C46" s="1268"/>
    </row>
    <row r="47" spans="1:3" s="149" customFormat="1">
      <c r="A47" s="1266">
        <f t="shared" si="0"/>
        <v>39</v>
      </c>
      <c r="B47" s="759"/>
      <c r="C47" s="1268"/>
    </row>
    <row r="48" spans="1:3" s="149" customFormat="1">
      <c r="A48" s="1266">
        <f t="shared" si="0"/>
        <v>40</v>
      </c>
      <c r="B48" s="759"/>
      <c r="C48" s="1268"/>
    </row>
    <row r="49" spans="1:3" s="149" customFormat="1">
      <c r="A49" s="758">
        <f t="shared" si="0"/>
        <v>41</v>
      </c>
      <c r="B49" s="759"/>
      <c r="C49" s="760"/>
    </row>
    <row r="50" spans="1:3" s="149" customFormat="1">
      <c r="A50" s="758">
        <f t="shared" si="0"/>
        <v>42</v>
      </c>
      <c r="B50" s="759"/>
      <c r="C50" s="760"/>
    </row>
    <row r="51" spans="1:3" s="149" customFormat="1">
      <c r="A51" s="758">
        <f t="shared" si="0"/>
        <v>43</v>
      </c>
      <c r="B51" s="759"/>
      <c r="C51" s="760"/>
    </row>
    <row r="52" spans="1:3" s="149" customFormat="1">
      <c r="A52" s="758">
        <f t="shared" si="0"/>
        <v>44</v>
      </c>
      <c r="B52" s="759"/>
      <c r="C52" s="760"/>
    </row>
    <row r="53" spans="1:3" s="149" customFormat="1">
      <c r="A53" s="1365">
        <f t="shared" si="0"/>
        <v>45</v>
      </c>
      <c r="B53" s="1094"/>
      <c r="C53" s="1366"/>
    </row>
    <row r="54" spans="1:3" s="149" customFormat="1" hidden="1">
      <c r="A54" s="1092">
        <f t="shared" si="0"/>
        <v>46</v>
      </c>
      <c r="B54" s="1093"/>
      <c r="C54" s="1262"/>
    </row>
    <row r="55" spans="1:3" s="149" customFormat="1" hidden="1">
      <c r="A55" s="758">
        <f t="shared" si="0"/>
        <v>47</v>
      </c>
      <c r="B55" s="759"/>
      <c r="C55" s="760"/>
    </row>
    <row r="56" spans="1:3" s="149" customFormat="1" hidden="1">
      <c r="A56" s="758">
        <f t="shared" si="0"/>
        <v>48</v>
      </c>
      <c r="B56" s="759"/>
      <c r="C56" s="760"/>
    </row>
    <row r="57" spans="1:3" s="149" customFormat="1" hidden="1">
      <c r="A57" s="758">
        <f t="shared" si="0"/>
        <v>49</v>
      </c>
      <c r="B57" s="759"/>
      <c r="C57" s="760"/>
    </row>
    <row r="58" spans="1:3" s="149" customFormat="1" hidden="1">
      <c r="A58" s="758">
        <f t="shared" si="0"/>
        <v>50</v>
      </c>
      <c r="B58" s="759"/>
      <c r="C58" s="760"/>
    </row>
    <row r="59" spans="1:3" s="149" customFormat="1" hidden="1">
      <c r="A59" s="758">
        <f t="shared" si="0"/>
        <v>51</v>
      </c>
      <c r="B59" s="759"/>
      <c r="C59" s="760"/>
    </row>
    <row r="60" spans="1:3" s="149" customFormat="1" hidden="1">
      <c r="A60" s="758">
        <f t="shared" si="0"/>
        <v>52</v>
      </c>
      <c r="B60" s="759"/>
      <c r="C60" s="760"/>
    </row>
    <row r="61" spans="1:3" s="149" customFormat="1" hidden="1">
      <c r="A61" s="758">
        <f t="shared" si="0"/>
        <v>53</v>
      </c>
      <c r="B61" s="759"/>
      <c r="C61" s="760"/>
    </row>
    <row r="62" spans="1:3" s="149" customFormat="1" hidden="1">
      <c r="A62" s="758">
        <f t="shared" si="0"/>
        <v>54</v>
      </c>
      <c r="B62" s="759"/>
      <c r="C62" s="760"/>
    </row>
    <row r="63" spans="1:3" s="149" customFormat="1" hidden="1">
      <c r="A63" s="758">
        <f t="shared" si="0"/>
        <v>55</v>
      </c>
      <c r="B63" s="759"/>
      <c r="C63" s="760"/>
    </row>
    <row r="64" spans="1:3" s="149" customFormat="1" hidden="1">
      <c r="A64" s="758">
        <f t="shared" si="0"/>
        <v>56</v>
      </c>
      <c r="B64" s="759"/>
      <c r="C64" s="760"/>
    </row>
    <row r="65" spans="1:3" s="149" customFormat="1" hidden="1">
      <c r="A65" s="758">
        <f t="shared" si="0"/>
        <v>57</v>
      </c>
      <c r="B65" s="759"/>
      <c r="C65" s="760"/>
    </row>
    <row r="66" spans="1:3" s="149" customFormat="1" hidden="1">
      <c r="A66" s="758">
        <f t="shared" si="0"/>
        <v>58</v>
      </c>
      <c r="B66" s="759"/>
      <c r="C66" s="760"/>
    </row>
    <row r="67" spans="1:3" s="149" customFormat="1" hidden="1">
      <c r="A67" s="758">
        <f t="shared" si="0"/>
        <v>59</v>
      </c>
      <c r="B67" s="759"/>
      <c r="C67" s="760"/>
    </row>
    <row r="68" spans="1:3" s="149" customFormat="1" hidden="1">
      <c r="A68" s="758">
        <f t="shared" si="0"/>
        <v>60</v>
      </c>
      <c r="B68" s="759"/>
      <c r="C68" s="760"/>
    </row>
    <row r="69" spans="1:3" s="149" customFormat="1" hidden="1">
      <c r="A69" s="758">
        <f t="shared" si="0"/>
        <v>61</v>
      </c>
      <c r="B69" s="759"/>
      <c r="C69" s="760"/>
    </row>
    <row r="70" spans="1:3" s="149" customFormat="1" hidden="1">
      <c r="A70" s="758">
        <f t="shared" si="0"/>
        <v>62</v>
      </c>
      <c r="B70" s="759"/>
      <c r="C70" s="760"/>
    </row>
    <row r="71" spans="1:3" s="149" customFormat="1" hidden="1">
      <c r="A71" s="758">
        <f t="shared" si="0"/>
        <v>63</v>
      </c>
      <c r="B71" s="759"/>
      <c r="C71" s="760"/>
    </row>
    <row r="72" spans="1:3" s="149" customFormat="1" hidden="1">
      <c r="A72" s="758">
        <f t="shared" si="0"/>
        <v>64</v>
      </c>
      <c r="B72" s="759"/>
      <c r="C72" s="760"/>
    </row>
    <row r="73" spans="1:3" s="149" customFormat="1" hidden="1">
      <c r="A73" s="758">
        <f t="shared" si="0"/>
        <v>65</v>
      </c>
      <c r="B73" s="759"/>
      <c r="C73" s="760"/>
    </row>
    <row r="74" spans="1:3" s="149" customFormat="1" hidden="1">
      <c r="A74" s="758">
        <f t="shared" si="0"/>
        <v>66</v>
      </c>
      <c r="B74" s="759"/>
      <c r="C74" s="760"/>
    </row>
    <row r="75" spans="1:3" s="149" customFormat="1" hidden="1">
      <c r="A75" s="758">
        <f t="shared" si="0"/>
        <v>67</v>
      </c>
      <c r="B75" s="761"/>
      <c r="C75" s="760"/>
    </row>
    <row r="76" spans="1:3" s="149" customFormat="1" hidden="1">
      <c r="A76" s="762">
        <f t="shared" si="0"/>
        <v>68</v>
      </c>
      <c r="B76" s="763"/>
      <c r="C76" s="764"/>
    </row>
    <row r="77" spans="1:3" s="149" customFormat="1" hidden="1">
      <c r="A77" s="765"/>
    </row>
    <row r="78" spans="1:3" s="149" customFormat="1" hidden="1">
      <c r="A78" s="765"/>
      <c r="B78" s="1091"/>
    </row>
    <row r="79" spans="1:3" s="149" customFormat="1" hidden="1">
      <c r="A79" s="765"/>
    </row>
    <row r="80" spans="1:3" s="149" customFormat="1" hidden="1">
      <c r="A80" s="765"/>
    </row>
    <row r="81" spans="1:3" s="149" customFormat="1" hidden="1">
      <c r="A81" s="765"/>
    </row>
    <row r="82" spans="1:3" s="149" customFormat="1" ht="15.75" hidden="1">
      <c r="A82" s="765"/>
      <c r="B82" s="659">
        <f>+'ANEXA 1'!B95</f>
        <v>0</v>
      </c>
    </row>
    <row r="83" spans="1:3" s="149" customFormat="1" ht="15">
      <c r="A83" s="765"/>
      <c r="B83" s="766"/>
    </row>
    <row r="84" spans="1:3" s="149" customFormat="1" ht="15.75">
      <c r="A84" s="765"/>
      <c r="B84" s="659" t="str">
        <f>+'ANEXA 1'!B94</f>
        <v>DIRECTOR  GENERAL,</v>
      </c>
    </row>
    <row r="85" spans="1:3" s="149" customFormat="1" ht="15.75">
      <c r="A85" s="765"/>
      <c r="B85" s="659" t="str">
        <f>'ANEXA 1'!B96</f>
        <v>EC.ALBU DRINA</v>
      </c>
    </row>
    <row r="86" spans="1:3" s="149" customFormat="1" ht="15.75" hidden="1">
      <c r="A86" s="765"/>
      <c r="B86" s="1254" t="str">
        <f>+'ANEXA 1'!B96</f>
        <v>EC.ALBU DRINA</v>
      </c>
    </row>
    <row r="87" spans="1:3" s="149" customFormat="1" ht="15" hidden="1">
      <c r="A87" s="765"/>
      <c r="B87" s="1126">
        <f>+'ANEXA 1'!B97</f>
        <v>0</v>
      </c>
    </row>
    <row r="88" spans="1:3" s="149" customFormat="1" hidden="1">
      <c r="A88" s="765"/>
    </row>
    <row r="89" spans="1:3" s="149" customFormat="1" ht="15" hidden="1" customHeight="1">
      <c r="A89" s="765"/>
      <c r="B89" s="293">
        <f>+'ANEXA 1'!B104:E104</f>
        <v>0</v>
      </c>
      <c r="C89" s="293"/>
    </row>
    <row r="90" spans="1:3" s="149" customFormat="1" ht="15">
      <c r="A90" s="765"/>
      <c r="B90" s="767"/>
      <c r="C90" s="767"/>
    </row>
    <row r="91" spans="1:3" s="149" customFormat="1" ht="15">
      <c r="A91" s="765"/>
      <c r="B91" s="4555" t="str">
        <f>+'ANEXA 1'!D94</f>
        <v>DIRECTOR  EXECUTIV  ECONOMIC,</v>
      </c>
      <c r="C91" s="4555"/>
    </row>
    <row r="92" spans="1:3" s="149" customFormat="1">
      <c r="A92" s="765"/>
    </row>
    <row r="93" spans="1:3" s="149" customFormat="1" ht="15">
      <c r="A93" s="765"/>
      <c r="B93" s="4024" t="str">
        <f>+'ANEXA 1'!D96</f>
        <v>EC.BIRCU FLORINA</v>
      </c>
      <c r="C93" s="4024"/>
    </row>
    <row r="94" spans="1:3" s="149" customFormat="1">
      <c r="A94" s="765"/>
      <c r="B94" s="1089"/>
      <c r="C94" s="1089"/>
    </row>
    <row r="95" spans="1:3" s="149" customFormat="1">
      <c r="A95" s="765"/>
      <c r="B95" s="768"/>
      <c r="C95" s="769"/>
    </row>
    <row r="96" spans="1:3" s="149" customFormat="1">
      <c r="A96" s="765"/>
      <c r="B96" s="1090"/>
      <c r="C96" s="1090"/>
    </row>
    <row r="97" spans="1:1" s="149" customFormat="1">
      <c r="A97" s="765"/>
    </row>
    <row r="98" spans="1:1" s="149" customFormat="1">
      <c r="A98" s="765"/>
    </row>
    <row r="99" spans="1:1" s="149" customFormat="1">
      <c r="A99" s="765"/>
    </row>
    <row r="100" spans="1:1" s="149" customFormat="1">
      <c r="A100" s="765"/>
    </row>
    <row r="101" spans="1:1" s="149" customFormat="1">
      <c r="A101" s="765"/>
    </row>
    <row r="102" spans="1:1" s="149" customFormat="1">
      <c r="A102" s="765"/>
    </row>
    <row r="103" spans="1:1" s="149" customFormat="1">
      <c r="A103" s="765"/>
    </row>
    <row r="104" spans="1:1" s="149" customFormat="1">
      <c r="A104" s="765"/>
    </row>
    <row r="105" spans="1:1" s="149" customFormat="1">
      <c r="A105" s="765"/>
    </row>
    <row r="106" spans="1:1" s="149" customFormat="1">
      <c r="A106" s="765"/>
    </row>
    <row r="107" spans="1:1" s="149" customFormat="1">
      <c r="A107" s="765"/>
    </row>
    <row r="108" spans="1:1" s="149" customFormat="1">
      <c r="A108" s="765"/>
    </row>
    <row r="109" spans="1:1" s="149" customFormat="1">
      <c r="A109" s="765"/>
    </row>
  </sheetData>
  <sheetProtection password="CF1D" sheet="1" objects="1" scenarios="1"/>
  <mergeCells count="6">
    <mergeCell ref="B93:C93"/>
    <mergeCell ref="A1:C1"/>
    <mergeCell ref="B3:C3"/>
    <mergeCell ref="B4:C4"/>
    <mergeCell ref="B5:C5"/>
    <mergeCell ref="B91:C91"/>
  </mergeCells>
  <phoneticPr fontId="0" type="noConversion"/>
  <pageMargins left="0.98425196850393704" right="0.31496062992125984" top="0.35433070866141736" bottom="0.51181102362204722" header="0.51181102362204722" footer="0.51181102362204722"/>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tabColor rgb="FFF2DCDB"/>
  </sheetPr>
  <dimension ref="A1:O54"/>
  <sheetViews>
    <sheetView showZeros="0" topLeftCell="A10" workbookViewId="0">
      <selection sqref="A1:E1"/>
    </sheetView>
  </sheetViews>
  <sheetFormatPr defaultColWidth="9.140625" defaultRowHeight="12.75"/>
  <cols>
    <col min="1" max="1" width="67.42578125" style="1" customWidth="1"/>
    <col min="2" max="2" width="8" style="1" customWidth="1"/>
    <col min="3" max="4" width="17.5703125" style="1" customWidth="1"/>
    <col min="5" max="5" width="18.7109375" style="1" customWidth="1"/>
    <col min="6" max="6" width="21.42578125" style="1" customWidth="1"/>
    <col min="7" max="7" width="12.42578125" style="1" customWidth="1"/>
    <col min="8" max="16384" width="9.140625" style="1"/>
  </cols>
  <sheetData>
    <row r="1" spans="1:15" ht="15.75">
      <c r="A1" s="4019" t="str">
        <f>'ANEXA 1'!A1</f>
        <v>CASA  DE  ASIGURĂRI  DE  SĂNĂTATE MEHEDINTI</v>
      </c>
      <c r="B1" s="4019"/>
      <c r="C1" s="4019"/>
      <c r="D1" s="4019"/>
      <c r="E1" s="4019"/>
      <c r="F1" s="1" t="s">
        <v>268</v>
      </c>
    </row>
    <row r="2" spans="1:15" ht="14.25">
      <c r="A2" s="131"/>
    </row>
    <row r="3" spans="1:15" ht="15">
      <c r="A3" s="132"/>
      <c r="O3" s="133"/>
    </row>
    <row r="4" spans="1:15" ht="15">
      <c r="A4" s="4020" t="s">
        <v>269</v>
      </c>
      <c r="B4" s="4020"/>
      <c r="C4" s="4020"/>
      <c r="D4" s="4020"/>
      <c r="E4" s="4020"/>
      <c r="F4" s="4020"/>
    </row>
    <row r="5" spans="1:15" ht="15">
      <c r="A5" s="4020" t="str">
        <f>'ANEXA 1'!A12</f>
        <v>la  data  de  30  IUNIE  2023</v>
      </c>
      <c r="B5" s="4020"/>
      <c r="C5" s="4020"/>
      <c r="D5" s="4020"/>
      <c r="E5" s="4020"/>
      <c r="F5" s="4020"/>
    </row>
    <row r="6" spans="1:15" ht="14.25">
      <c r="A6" s="134" t="s">
        <v>270</v>
      </c>
      <c r="B6" s="135"/>
      <c r="C6" s="135"/>
      <c r="D6" s="135"/>
      <c r="E6" s="135"/>
      <c r="F6" s="136" t="s">
        <v>271</v>
      </c>
      <c r="G6" s="135"/>
    </row>
    <row r="7" spans="1:15" ht="30" customHeight="1">
      <c r="A7" s="4021" t="s">
        <v>88</v>
      </c>
      <c r="B7" s="4022" t="s">
        <v>272</v>
      </c>
      <c r="C7" s="4022" t="s">
        <v>273</v>
      </c>
      <c r="D7" s="4022" t="s">
        <v>274</v>
      </c>
      <c r="E7" s="4022" t="s">
        <v>275</v>
      </c>
      <c r="F7" s="4022" t="s">
        <v>276</v>
      </c>
      <c r="H7" s="137"/>
    </row>
    <row r="8" spans="1:15" ht="15.75" customHeight="1">
      <c r="A8" s="4021"/>
      <c r="B8" s="4022"/>
      <c r="C8" s="4022"/>
      <c r="D8" s="4022"/>
      <c r="E8" s="4022"/>
      <c r="F8" s="4022"/>
    </row>
    <row r="9" spans="1:15">
      <c r="A9" s="3535" t="s">
        <v>92</v>
      </c>
      <c r="B9" s="3536" t="s">
        <v>93</v>
      </c>
      <c r="C9" s="3536">
        <v>1</v>
      </c>
      <c r="D9" s="3536">
        <v>2</v>
      </c>
      <c r="E9" s="3536">
        <v>3</v>
      </c>
      <c r="F9" s="3537" t="s">
        <v>277</v>
      </c>
    </row>
    <row r="10" spans="1:15" ht="15">
      <c r="A10" s="3525" t="s">
        <v>278</v>
      </c>
      <c r="B10" s="3524" t="s">
        <v>96</v>
      </c>
      <c r="C10" s="3521">
        <f>ROUND(C11+C12+C13+C14+C15+C16+C17+C18+C19+C20+C21+C22+C23+C24+C25+C26+C33+C34+C35+C36+C37+C38,1)</f>
        <v>10531</v>
      </c>
      <c r="D10" s="3521">
        <f>ROUND(D11+D12+D13+D14+D15+D16+D17+D18+D19+D20+D21+D22+D23+D24+D25+D26+D33+D34+D35+D36+D37+D38,1)</f>
        <v>1850</v>
      </c>
      <c r="E10" s="3521">
        <f>ROUND(E11+E12+E13+E14+E15+E16+E17+E18+E19+E20+E21+E22+E23+E24+E25+E26+E33+E34+E35+E36+E37+E38,1)</f>
        <v>0</v>
      </c>
      <c r="F10" s="3526">
        <f>ROUND(F11+F12+F13+F14+F15+F16+F17+F18+F19+F20+F21+F22+F23+F24+F25+F26+F33+F34+F35+F36+F37+F38,1)</f>
        <v>12381</v>
      </c>
    </row>
    <row r="11" spans="1:15" ht="25.5">
      <c r="A11" s="3527" t="s">
        <v>279</v>
      </c>
      <c r="B11" s="3517" t="s">
        <v>98</v>
      </c>
      <c r="C11" s="3518"/>
      <c r="D11" s="3518"/>
      <c r="E11" s="3518"/>
      <c r="F11" s="3528">
        <f t="shared" ref="F11:F25" si="0">C11+D11-E11</f>
        <v>0</v>
      </c>
    </row>
    <row r="12" spans="1:15" ht="29.25" customHeight="1">
      <c r="A12" s="3527" t="s">
        <v>280</v>
      </c>
      <c r="B12" s="3517" t="s">
        <v>100</v>
      </c>
      <c r="C12" s="3518"/>
      <c r="D12" s="3518"/>
      <c r="E12" s="3518"/>
      <c r="F12" s="3528">
        <f t="shared" si="0"/>
        <v>0</v>
      </c>
    </row>
    <row r="13" spans="1:15" ht="38.25">
      <c r="A13" s="3527" t="s">
        <v>281</v>
      </c>
      <c r="B13" s="3519" t="s">
        <v>102</v>
      </c>
      <c r="C13" s="3518"/>
      <c r="D13" s="3518"/>
      <c r="E13" s="3518"/>
      <c r="F13" s="3528">
        <f t="shared" si="0"/>
        <v>0</v>
      </c>
    </row>
    <row r="14" spans="1:15" ht="25.5">
      <c r="A14" s="3527" t="s">
        <v>282</v>
      </c>
      <c r="B14" s="3517" t="s">
        <v>104</v>
      </c>
      <c r="C14" s="3518">
        <f>'COD 04'!F24</f>
        <v>10531</v>
      </c>
      <c r="D14" s="3518">
        <f>'COD 04'!F12</f>
        <v>1850</v>
      </c>
      <c r="E14" s="3518">
        <f>'COD 04'!F13</f>
        <v>0</v>
      </c>
      <c r="F14" s="3528">
        <f t="shared" si="0"/>
        <v>12381</v>
      </c>
    </row>
    <row r="15" spans="1:15" ht="25.5">
      <c r="A15" s="3529" t="s">
        <v>283</v>
      </c>
      <c r="B15" s="3517" t="s">
        <v>107</v>
      </c>
      <c r="C15" s="3518">
        <f>+DISPONIBILITATI!E21</f>
        <v>0</v>
      </c>
      <c r="D15" s="3518">
        <f>+DISPONIBILITATI!E9</f>
        <v>0</v>
      </c>
      <c r="E15" s="3518">
        <f>+DISPONIBILITATI!E10</f>
        <v>0</v>
      </c>
      <c r="F15" s="3528">
        <f t="shared" si="0"/>
        <v>0</v>
      </c>
    </row>
    <row r="16" spans="1:15" ht="25.5">
      <c r="A16" s="3527" t="s">
        <v>284</v>
      </c>
      <c r="B16" s="3517" t="s">
        <v>110</v>
      </c>
      <c r="C16" s="3518"/>
      <c r="D16" s="3518"/>
      <c r="E16" s="3518"/>
      <c r="F16" s="3528">
        <f t="shared" si="0"/>
        <v>0</v>
      </c>
    </row>
    <row r="17" spans="1:7" ht="25.5" customHeight="1">
      <c r="A17" s="3527" t="s">
        <v>285</v>
      </c>
      <c r="B17" s="3517" t="s">
        <v>112</v>
      </c>
      <c r="C17" s="3518"/>
      <c r="D17" s="3518"/>
      <c r="E17" s="3518"/>
      <c r="F17" s="3528">
        <f t="shared" si="0"/>
        <v>0</v>
      </c>
    </row>
    <row r="18" spans="1:7" ht="25.5">
      <c r="A18" s="3527" t="s">
        <v>286</v>
      </c>
      <c r="B18" s="3517" t="s">
        <v>114</v>
      </c>
      <c r="C18" s="3518"/>
      <c r="D18" s="3518"/>
      <c r="E18" s="3518"/>
      <c r="F18" s="3528">
        <f t="shared" si="0"/>
        <v>0</v>
      </c>
    </row>
    <row r="19" spans="1:7" ht="25.5">
      <c r="A19" s="3527" t="s">
        <v>287</v>
      </c>
      <c r="B19" s="3517">
        <v>10</v>
      </c>
      <c r="C19" s="3518"/>
      <c r="D19" s="3518"/>
      <c r="E19" s="3518"/>
      <c r="F19" s="3528">
        <f t="shared" si="0"/>
        <v>0</v>
      </c>
    </row>
    <row r="20" spans="1:7" ht="25.5">
      <c r="A20" s="3527" t="s">
        <v>288</v>
      </c>
      <c r="B20" s="3517">
        <v>11</v>
      </c>
      <c r="C20" s="3518"/>
      <c r="D20" s="3518"/>
      <c r="E20" s="3518"/>
      <c r="F20" s="3528">
        <f t="shared" si="0"/>
        <v>0</v>
      </c>
    </row>
    <row r="21" spans="1:7" ht="25.5">
      <c r="A21" s="3527" t="s">
        <v>289</v>
      </c>
      <c r="B21" s="3517">
        <v>12</v>
      </c>
      <c r="C21" s="3518"/>
      <c r="D21" s="3518"/>
      <c r="E21" s="3518"/>
      <c r="F21" s="3528">
        <f t="shared" si="0"/>
        <v>0</v>
      </c>
    </row>
    <row r="22" spans="1:7" ht="38.25">
      <c r="A22" s="3527" t="s">
        <v>290</v>
      </c>
      <c r="B22" s="3517">
        <v>13</v>
      </c>
      <c r="C22" s="3518"/>
      <c r="D22" s="3518"/>
      <c r="E22" s="3518"/>
      <c r="F22" s="3528">
        <f t="shared" si="0"/>
        <v>0</v>
      </c>
    </row>
    <row r="23" spans="1:7" ht="25.5">
      <c r="A23" s="3527" t="s">
        <v>291</v>
      </c>
      <c r="B23" s="3517">
        <v>14</v>
      </c>
      <c r="C23" s="3518"/>
      <c r="D23" s="3518"/>
      <c r="E23" s="3518"/>
      <c r="F23" s="3528">
        <f t="shared" si="0"/>
        <v>0</v>
      </c>
    </row>
    <row r="24" spans="1:7" ht="14.25">
      <c r="A24" s="3527" t="s">
        <v>292</v>
      </c>
      <c r="B24" s="3517">
        <f t="shared" ref="B24:B38" si="1">B23+1</f>
        <v>15</v>
      </c>
      <c r="C24" s="3518"/>
      <c r="D24" s="3518"/>
      <c r="E24" s="3518"/>
      <c r="F24" s="3528">
        <f t="shared" si="0"/>
        <v>0</v>
      </c>
    </row>
    <row r="25" spans="1:7" ht="25.5">
      <c r="A25" s="3527" t="s">
        <v>293</v>
      </c>
      <c r="B25" s="3517">
        <f t="shared" si="1"/>
        <v>16</v>
      </c>
      <c r="C25" s="3518"/>
      <c r="D25" s="3518"/>
      <c r="E25" s="3518"/>
      <c r="F25" s="3528">
        <f t="shared" si="0"/>
        <v>0</v>
      </c>
      <c r="G25" s="39"/>
    </row>
    <row r="26" spans="1:7" s="139" customFormat="1" ht="25.5">
      <c r="A26" s="3530" t="s">
        <v>2146</v>
      </c>
      <c r="B26" s="3522">
        <f t="shared" si="1"/>
        <v>17</v>
      </c>
      <c r="C26" s="3523">
        <f>C27+C30+C31+C32</f>
        <v>0</v>
      </c>
      <c r="D26" s="3523">
        <f>D27+D30+D31+D32</f>
        <v>0</v>
      </c>
      <c r="E26" s="3523">
        <f>E27+E30+E31+E32</f>
        <v>0</v>
      </c>
      <c r="F26" s="3531">
        <f>F27+F30+F31+F32</f>
        <v>0</v>
      </c>
      <c r="G26" s="138"/>
    </row>
    <row r="27" spans="1:7" s="139" customFormat="1" ht="27" customHeight="1">
      <c r="A27" s="3532" t="s">
        <v>2147</v>
      </c>
      <c r="B27" s="3520">
        <f t="shared" si="1"/>
        <v>18</v>
      </c>
      <c r="C27" s="3521">
        <f>C28+C29</f>
        <v>0</v>
      </c>
      <c r="D27" s="3521">
        <f>D28+D29</f>
        <v>0</v>
      </c>
      <c r="E27" s="3521">
        <f>E28+E29</f>
        <v>0</v>
      </c>
      <c r="F27" s="3526">
        <f>F28+F29</f>
        <v>0</v>
      </c>
      <c r="G27" s="138"/>
    </row>
    <row r="28" spans="1:7" ht="25.5">
      <c r="A28" s="3527" t="s">
        <v>2148</v>
      </c>
      <c r="B28" s="3517">
        <f t="shared" si="1"/>
        <v>19</v>
      </c>
      <c r="C28" s="3518"/>
      <c r="D28" s="3518"/>
      <c r="E28" s="3518"/>
      <c r="F28" s="3528">
        <f t="shared" ref="F28:F39" si="2">C28+D28-E28</f>
        <v>0</v>
      </c>
      <c r="G28" s="140"/>
    </row>
    <row r="29" spans="1:7" ht="25.5">
      <c r="A29" s="3527" t="s">
        <v>2149</v>
      </c>
      <c r="B29" s="3517">
        <f t="shared" si="1"/>
        <v>20</v>
      </c>
      <c r="C29" s="3518"/>
      <c r="D29" s="3518"/>
      <c r="E29" s="3518"/>
      <c r="F29" s="3528">
        <f t="shared" si="2"/>
        <v>0</v>
      </c>
      <c r="G29" s="140"/>
    </row>
    <row r="30" spans="1:7" ht="38.25">
      <c r="A30" s="3527" t="s">
        <v>294</v>
      </c>
      <c r="B30" s="3517">
        <f t="shared" si="1"/>
        <v>21</v>
      </c>
      <c r="C30" s="3518"/>
      <c r="D30" s="3518"/>
      <c r="E30" s="3518"/>
      <c r="F30" s="3528">
        <f t="shared" si="2"/>
        <v>0</v>
      </c>
      <c r="G30" s="140"/>
    </row>
    <row r="31" spans="1:7" ht="38.25">
      <c r="A31" s="3527" t="s">
        <v>295</v>
      </c>
      <c r="B31" s="3517">
        <f t="shared" si="1"/>
        <v>22</v>
      </c>
      <c r="C31" s="3518"/>
      <c r="D31" s="3518"/>
      <c r="E31" s="3518"/>
      <c r="F31" s="3528">
        <f t="shared" si="2"/>
        <v>0</v>
      </c>
      <c r="G31" s="140"/>
    </row>
    <row r="32" spans="1:7" ht="25.5">
      <c r="A32" s="3527" t="s">
        <v>296</v>
      </c>
      <c r="B32" s="3517">
        <f t="shared" si="1"/>
        <v>23</v>
      </c>
      <c r="C32" s="3518"/>
      <c r="D32" s="3518"/>
      <c r="E32" s="3518"/>
      <c r="F32" s="3528">
        <f t="shared" si="2"/>
        <v>0</v>
      </c>
      <c r="G32" s="140"/>
    </row>
    <row r="33" spans="1:9" ht="25.5">
      <c r="A33" s="3527" t="s">
        <v>297</v>
      </c>
      <c r="B33" s="3517">
        <f t="shared" si="1"/>
        <v>24</v>
      </c>
      <c r="C33" s="3518"/>
      <c r="D33" s="3518"/>
      <c r="E33" s="3518"/>
      <c r="F33" s="3528">
        <f t="shared" si="2"/>
        <v>0</v>
      </c>
      <c r="G33" s="140"/>
    </row>
    <row r="34" spans="1:9" ht="25.5">
      <c r="A34" s="3527" t="s">
        <v>298</v>
      </c>
      <c r="B34" s="3517">
        <f t="shared" si="1"/>
        <v>25</v>
      </c>
      <c r="C34" s="3518"/>
      <c r="D34" s="3518"/>
      <c r="E34" s="3518"/>
      <c r="F34" s="3528">
        <f t="shared" si="2"/>
        <v>0</v>
      </c>
      <c r="G34" s="140"/>
    </row>
    <row r="35" spans="1:9" ht="25.5">
      <c r="A35" s="3527" t="s">
        <v>299</v>
      </c>
      <c r="B35" s="3517">
        <f t="shared" si="1"/>
        <v>26</v>
      </c>
      <c r="C35" s="3518"/>
      <c r="D35" s="3518"/>
      <c r="E35" s="3518"/>
      <c r="F35" s="3528">
        <f t="shared" si="2"/>
        <v>0</v>
      </c>
      <c r="G35" s="140"/>
    </row>
    <row r="36" spans="1:9" ht="30.75" customHeight="1">
      <c r="A36" s="3527" t="s">
        <v>300</v>
      </c>
      <c r="B36" s="3517">
        <f t="shared" si="1"/>
        <v>27</v>
      </c>
      <c r="C36" s="3518"/>
      <c r="D36" s="3518"/>
      <c r="E36" s="3518"/>
      <c r="F36" s="3528">
        <f t="shared" si="2"/>
        <v>0</v>
      </c>
      <c r="G36" s="140"/>
    </row>
    <row r="37" spans="1:9" ht="25.5">
      <c r="A37" s="3527" t="s">
        <v>301</v>
      </c>
      <c r="B37" s="3517">
        <f t="shared" si="1"/>
        <v>28</v>
      </c>
      <c r="C37" s="3518"/>
      <c r="D37" s="3518"/>
      <c r="E37" s="3518"/>
      <c r="F37" s="3528">
        <f t="shared" si="2"/>
        <v>0</v>
      </c>
      <c r="G37" s="140"/>
    </row>
    <row r="38" spans="1:9" ht="25.5">
      <c r="A38" s="3527" t="s">
        <v>302</v>
      </c>
      <c r="B38" s="3517">
        <f t="shared" si="1"/>
        <v>29</v>
      </c>
      <c r="C38" s="3518">
        <f>+DISPONIBILITATI!H21</f>
        <v>0</v>
      </c>
      <c r="D38" s="3518">
        <f>+DISPONIBILITATI!H9</f>
        <v>0</v>
      </c>
      <c r="E38" s="3518">
        <f>+DISPONIBILITATI!H10</f>
        <v>0</v>
      </c>
      <c r="F38" s="3528">
        <f t="shared" si="2"/>
        <v>0</v>
      </c>
      <c r="G38" s="140"/>
    </row>
    <row r="39" spans="1:9" ht="25.5">
      <c r="A39" s="3527" t="s">
        <v>303</v>
      </c>
      <c r="B39" s="3517">
        <v>30</v>
      </c>
      <c r="C39" s="3518"/>
      <c r="D39" s="3518"/>
      <c r="E39" s="3518"/>
      <c r="F39" s="3528">
        <f t="shared" si="2"/>
        <v>0</v>
      </c>
      <c r="G39" s="140"/>
    </row>
    <row r="40" spans="1:9" ht="22.5" customHeight="1">
      <c r="A40" s="3533" t="s">
        <v>304</v>
      </c>
      <c r="B40" s="3534">
        <v>31</v>
      </c>
      <c r="C40" s="3523">
        <f>ROUND(C10+C39,1)</f>
        <v>10531</v>
      </c>
      <c r="D40" s="3523">
        <f>ROUND(D10+D39,1)</f>
        <v>1850</v>
      </c>
      <c r="E40" s="3523">
        <f>ROUND(E10+E39,1)</f>
        <v>0</v>
      </c>
      <c r="F40" s="3531">
        <f>ROUND(F10+F39,1)</f>
        <v>12381</v>
      </c>
      <c r="G40" s="140"/>
    </row>
    <row r="41" spans="1:9" ht="12" customHeight="1">
      <c r="A41" s="141" t="s">
        <v>305</v>
      </c>
      <c r="B41" s="142"/>
      <c r="C41" s="143"/>
      <c r="D41" s="144"/>
      <c r="E41" s="144"/>
      <c r="F41" s="140"/>
      <c r="G41" s="140"/>
    </row>
    <row r="42" spans="1:9" ht="21.75" customHeight="1">
      <c r="A42" s="31"/>
      <c r="B42" s="31"/>
      <c r="C42" s="31"/>
      <c r="D42" s="31"/>
      <c r="G42" s="140"/>
    </row>
    <row r="43" spans="1:9" ht="15.75" customHeight="1">
      <c r="A43" s="59"/>
      <c r="B43" s="59"/>
      <c r="C43" s="145"/>
      <c r="D43" s="145"/>
      <c r="E43" s="145"/>
      <c r="F43" s="145"/>
      <c r="G43" s="146"/>
      <c r="H43" s="147"/>
      <c r="I43" s="148"/>
    </row>
    <row r="44" spans="1:9" ht="15.75" customHeight="1">
      <c r="A44" s="33" t="str">
        <f>'ANEXA 1'!B94</f>
        <v>DIRECTOR  GENERAL,</v>
      </c>
      <c r="B44" s="149"/>
      <c r="C44" s="150"/>
      <c r="D44" s="3978" t="str">
        <f>'ANEXA 1'!D94:E94</f>
        <v>DIRECTOR  EXECUTIV  ECONOMIC,</v>
      </c>
      <c r="E44" s="3978"/>
      <c r="F44" s="3978"/>
      <c r="G44" s="151"/>
      <c r="H44" s="146"/>
    </row>
    <row r="45" spans="1:9" ht="15.75" customHeight="1">
      <c r="D45" s="1866"/>
      <c r="E45" s="1866"/>
      <c r="F45" s="1866"/>
    </row>
    <row r="46" spans="1:9" ht="15.75" customHeight="1">
      <c r="A46" s="33" t="str">
        <f>'ANEXA 1'!B96</f>
        <v>EC.ALBU DRINA</v>
      </c>
      <c r="D46" s="4018" t="str">
        <f>'ANEXA 1'!D96:E96</f>
        <v>EC.BIRCU FLORINA</v>
      </c>
      <c r="E46" s="4018"/>
      <c r="F46" s="4018"/>
    </row>
    <row r="47" spans="1:9" ht="15">
      <c r="A47" s="1055">
        <f>'ANEXA 1'!B97</f>
        <v>0</v>
      </c>
      <c r="D47" s="1866"/>
      <c r="E47" s="1866"/>
      <c r="F47" s="1866"/>
    </row>
    <row r="48" spans="1:9" ht="14.25">
      <c r="A48" s="1564"/>
    </row>
    <row r="49" spans="1:6" ht="19.5" customHeight="1">
      <c r="A49" s="1563">
        <f>+'ANEXA 1'!B99</f>
        <v>0</v>
      </c>
      <c r="D49" s="4017">
        <f>'ANEXA 1'!D99:E99</f>
        <v>0</v>
      </c>
      <c r="E49" s="4017"/>
      <c r="F49" s="4017"/>
    </row>
    <row r="50" spans="1:6" ht="13.5" customHeight="1">
      <c r="A50" s="1565"/>
    </row>
    <row r="51" spans="1:6" ht="15.75" customHeight="1">
      <c r="A51" s="1565">
        <f>+'ANEXA 1'!B101</f>
        <v>0</v>
      </c>
      <c r="D51" s="4017">
        <f>'ANEXA 1'!D101:E101</f>
        <v>0</v>
      </c>
      <c r="E51" s="4017"/>
      <c r="F51" s="4017"/>
    </row>
    <row r="52" spans="1:6">
      <c r="E52" s="1054"/>
    </row>
    <row r="53" spans="1:6">
      <c r="E53" s="1054"/>
    </row>
    <row r="54" spans="1:6">
      <c r="E54" s="1059"/>
    </row>
  </sheetData>
  <sheetProtection password="CFDD" sheet="1" objects="1" scenarios="1"/>
  <mergeCells count="13">
    <mergeCell ref="D49:F49"/>
    <mergeCell ref="D51:F51"/>
    <mergeCell ref="D46:F46"/>
    <mergeCell ref="D44:F44"/>
    <mergeCell ref="A1:E1"/>
    <mergeCell ref="A4:F4"/>
    <mergeCell ref="A5:F5"/>
    <mergeCell ref="A7:A8"/>
    <mergeCell ref="B7:B8"/>
    <mergeCell ref="C7:C8"/>
    <mergeCell ref="D7:D8"/>
    <mergeCell ref="E7:E8"/>
    <mergeCell ref="F7:F8"/>
  </mergeCells>
  <phoneticPr fontId="0" type="noConversion"/>
  <pageMargins left="0.6692913385826772" right="0.19685039370078741" top="0.27559055118110237" bottom="0.27559055118110237" header="0.51181102362204722" footer="0.23622047244094491"/>
  <pageSetup paperSize="9" scale="89" firstPageNumber="0" orientation="landscape" r:id="rId1"/>
  <headerFooter alignWithMargins="0">
    <oddFooter>&amp;C&amp;A&amp;RPagina &amp;P</oddFooter>
  </headerFooter>
  <rowBreaks count="1" manualBreakCount="1">
    <brk id="2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9">
    <tabColor indexed="10"/>
  </sheetPr>
  <dimension ref="A1:M96"/>
  <sheetViews>
    <sheetView showZeros="0" workbookViewId="0">
      <selection activeCell="G19" sqref="G19"/>
    </sheetView>
  </sheetViews>
  <sheetFormatPr defaultColWidth="9" defaultRowHeight="12.75"/>
  <cols>
    <col min="1" max="1" width="5.85546875" style="557" customWidth="1"/>
    <col min="2" max="2" width="63.140625" customWidth="1"/>
    <col min="3" max="3" width="17" customWidth="1"/>
    <col min="4" max="6" width="9" customWidth="1"/>
    <col min="7" max="7" width="9.42578125" customWidth="1"/>
  </cols>
  <sheetData>
    <row r="1" spans="1:13" s="1" customFormat="1" ht="15">
      <c r="A1" s="4554" t="str">
        <f>+'ANEXA 1'!A1</f>
        <v>CASA  DE  ASIGURĂRI  DE  SĂNĂTATE MEHEDINTI</v>
      </c>
      <c r="B1" s="4554"/>
      <c r="C1" s="4554"/>
      <c r="D1" s="252"/>
      <c r="E1" s="252"/>
      <c r="F1" s="252"/>
      <c r="G1" s="252"/>
      <c r="H1" s="252"/>
      <c r="I1" s="252"/>
      <c r="J1" s="252"/>
      <c r="K1" s="252"/>
      <c r="L1" s="252"/>
      <c r="M1" s="252"/>
    </row>
    <row r="2" spans="1:13" s="1" customFormat="1">
      <c r="A2" s="2"/>
    </row>
    <row r="3" spans="1:13" s="1" customFormat="1">
      <c r="A3" s="2"/>
      <c r="B3" s="4319" t="s">
        <v>2087</v>
      </c>
      <c r="C3" s="4319"/>
      <c r="D3" s="513"/>
      <c r="E3" s="513"/>
      <c r="F3" s="513"/>
      <c r="G3" s="513"/>
      <c r="H3" s="513"/>
      <c r="I3" s="513"/>
      <c r="J3" s="513"/>
    </row>
    <row r="4" spans="1:13" s="1" customFormat="1">
      <c r="A4" s="2"/>
      <c r="B4" s="4319" t="s">
        <v>2414</v>
      </c>
      <c r="C4" s="4319"/>
      <c r="D4" s="513"/>
      <c r="E4" s="513"/>
      <c r="F4" s="513"/>
      <c r="G4" s="513"/>
      <c r="H4" s="513"/>
      <c r="I4" s="513"/>
      <c r="J4" s="513"/>
    </row>
    <row r="5" spans="1:13" s="1" customFormat="1">
      <c r="A5" s="2"/>
      <c r="B5" s="4319" t="s">
        <v>1820</v>
      </c>
      <c r="C5" s="4319"/>
    </row>
    <row r="6" spans="1:13" s="1" customFormat="1">
      <c r="A6" s="2"/>
      <c r="C6" s="657" t="s">
        <v>428</v>
      </c>
    </row>
    <row r="7" spans="1:13" s="1" customFormat="1" ht="27.75" customHeight="1">
      <c r="A7" s="1259" t="s">
        <v>87</v>
      </c>
      <c r="B7" s="1260" t="s">
        <v>1629</v>
      </c>
      <c r="C7" s="1261" t="s">
        <v>1630</v>
      </c>
    </row>
    <row r="8" spans="1:13" s="1" customFormat="1" ht="19.5" customHeight="1">
      <c r="A8" s="1263"/>
      <c r="B8" s="1264" t="s">
        <v>1631</v>
      </c>
      <c r="C8" s="1265">
        <f>SUM(C9:C76)</f>
        <v>0</v>
      </c>
      <c r="E8" s="757" t="str">
        <f>IF(C8=0,"EROARE"," ")</f>
        <v>EROARE</v>
      </c>
    </row>
    <row r="9" spans="1:13" s="149" customFormat="1">
      <c r="A9" s="1266">
        <v>1</v>
      </c>
      <c r="B9" s="759"/>
      <c r="C9" s="1267"/>
    </row>
    <row r="10" spans="1:13" s="149" customFormat="1">
      <c r="A10" s="1266">
        <v>2</v>
      </c>
      <c r="B10" s="759"/>
      <c r="C10" s="1267"/>
    </row>
    <row r="11" spans="1:13" s="149" customFormat="1">
      <c r="A11" s="1266">
        <f t="shared" ref="A11:A74" si="0">+A10+1</f>
        <v>3</v>
      </c>
      <c r="B11" s="759"/>
      <c r="C11" s="1267"/>
    </row>
    <row r="12" spans="1:13" s="149" customFormat="1">
      <c r="A12" s="1266">
        <f t="shared" si="0"/>
        <v>4</v>
      </c>
      <c r="B12" s="759"/>
      <c r="C12" s="1267"/>
    </row>
    <row r="13" spans="1:13" s="149" customFormat="1">
      <c r="A13" s="1266">
        <f t="shared" si="0"/>
        <v>5</v>
      </c>
      <c r="B13" s="759"/>
      <c r="C13" s="1267"/>
    </row>
    <row r="14" spans="1:13" s="149" customFormat="1">
      <c r="A14" s="1266">
        <f t="shared" si="0"/>
        <v>6</v>
      </c>
      <c r="B14" s="759"/>
      <c r="C14" s="1267"/>
    </row>
    <row r="15" spans="1:13" s="149" customFormat="1">
      <c r="A15" s="1266">
        <f t="shared" si="0"/>
        <v>7</v>
      </c>
      <c r="B15" s="759"/>
      <c r="C15" s="1267"/>
    </row>
    <row r="16" spans="1:13" s="149" customFormat="1">
      <c r="A16" s="1266">
        <f t="shared" si="0"/>
        <v>8</v>
      </c>
      <c r="B16" s="759"/>
      <c r="C16" s="1267"/>
    </row>
    <row r="17" spans="1:3" s="149" customFormat="1">
      <c r="A17" s="1266">
        <f t="shared" si="0"/>
        <v>9</v>
      </c>
      <c r="B17" s="759"/>
      <c r="C17" s="1267"/>
    </row>
    <row r="18" spans="1:3" s="149" customFormat="1">
      <c r="A18" s="1266">
        <f t="shared" si="0"/>
        <v>10</v>
      </c>
      <c r="B18" s="759"/>
      <c r="C18" s="1267"/>
    </row>
    <row r="19" spans="1:3" s="149" customFormat="1">
      <c r="A19" s="1266">
        <f t="shared" si="0"/>
        <v>11</v>
      </c>
      <c r="B19" s="759"/>
      <c r="C19" s="1267"/>
    </row>
    <row r="20" spans="1:3" s="149" customFormat="1">
      <c r="A20" s="1266">
        <f t="shared" si="0"/>
        <v>12</v>
      </c>
      <c r="B20" s="759"/>
      <c r="C20" s="1267"/>
    </row>
    <row r="21" spans="1:3" s="149" customFormat="1">
      <c r="A21" s="1266">
        <f t="shared" si="0"/>
        <v>13</v>
      </c>
      <c r="B21" s="759"/>
      <c r="C21" s="1267"/>
    </row>
    <row r="22" spans="1:3" s="149" customFormat="1">
      <c r="A22" s="1266">
        <f t="shared" si="0"/>
        <v>14</v>
      </c>
      <c r="B22" s="759"/>
      <c r="C22" s="1267"/>
    </row>
    <row r="23" spans="1:3" s="149" customFormat="1">
      <c r="A23" s="1266">
        <f t="shared" si="0"/>
        <v>15</v>
      </c>
      <c r="B23" s="759"/>
      <c r="C23" s="1267"/>
    </row>
    <row r="24" spans="1:3" s="149" customFormat="1">
      <c r="A24" s="1266">
        <f t="shared" si="0"/>
        <v>16</v>
      </c>
      <c r="B24" s="759"/>
      <c r="C24" s="1267"/>
    </row>
    <row r="25" spans="1:3" s="149" customFormat="1">
      <c r="A25" s="1266">
        <f t="shared" si="0"/>
        <v>17</v>
      </c>
      <c r="B25" s="759"/>
      <c r="C25" s="1267"/>
    </row>
    <row r="26" spans="1:3" s="149" customFormat="1">
      <c r="A26" s="1266">
        <f t="shared" si="0"/>
        <v>18</v>
      </c>
      <c r="B26" s="759"/>
      <c r="C26" s="1267"/>
    </row>
    <row r="27" spans="1:3" s="149" customFormat="1">
      <c r="A27" s="1266">
        <f t="shared" si="0"/>
        <v>19</v>
      </c>
      <c r="B27" s="759"/>
      <c r="C27" s="1267"/>
    </row>
    <row r="28" spans="1:3" s="149" customFormat="1">
      <c r="A28" s="1266">
        <f t="shared" si="0"/>
        <v>20</v>
      </c>
      <c r="B28" s="759"/>
      <c r="C28" s="1267"/>
    </row>
    <row r="29" spans="1:3" s="149" customFormat="1">
      <c r="A29" s="1266">
        <f t="shared" si="0"/>
        <v>21</v>
      </c>
      <c r="B29" s="759"/>
      <c r="C29" s="1267"/>
    </row>
    <row r="30" spans="1:3" s="149" customFormat="1">
      <c r="A30" s="1266">
        <f t="shared" si="0"/>
        <v>22</v>
      </c>
      <c r="B30" s="759"/>
      <c r="C30" s="1267"/>
    </row>
    <row r="31" spans="1:3" s="149" customFormat="1">
      <c r="A31" s="1266">
        <f t="shared" si="0"/>
        <v>23</v>
      </c>
      <c r="B31" s="759"/>
      <c r="C31" s="1267"/>
    </row>
    <row r="32" spans="1:3" s="149" customFormat="1">
      <c r="A32" s="1266">
        <f t="shared" si="0"/>
        <v>24</v>
      </c>
      <c r="B32" s="759"/>
      <c r="C32" s="1267"/>
    </row>
    <row r="33" spans="1:3" s="149" customFormat="1">
      <c r="A33" s="1266">
        <f t="shared" si="0"/>
        <v>25</v>
      </c>
      <c r="B33" s="759"/>
      <c r="C33" s="1268"/>
    </row>
    <row r="34" spans="1:3" s="149" customFormat="1">
      <c r="A34" s="1266">
        <f t="shared" si="0"/>
        <v>26</v>
      </c>
      <c r="B34" s="759"/>
      <c r="C34" s="1268"/>
    </row>
    <row r="35" spans="1:3" s="149" customFormat="1">
      <c r="A35" s="1266">
        <f t="shared" si="0"/>
        <v>27</v>
      </c>
      <c r="B35" s="759"/>
      <c r="C35" s="1268"/>
    </row>
    <row r="36" spans="1:3" s="149" customFormat="1">
      <c r="A36" s="1266">
        <f t="shared" si="0"/>
        <v>28</v>
      </c>
      <c r="B36" s="759"/>
      <c r="C36" s="1268"/>
    </row>
    <row r="37" spans="1:3" s="149" customFormat="1">
      <c r="A37" s="1266">
        <f t="shared" si="0"/>
        <v>29</v>
      </c>
      <c r="B37" s="759"/>
      <c r="C37" s="1268"/>
    </row>
    <row r="38" spans="1:3" s="149" customFormat="1">
      <c r="A38" s="1266">
        <f t="shared" si="0"/>
        <v>30</v>
      </c>
      <c r="B38" s="759"/>
      <c r="C38" s="1268"/>
    </row>
    <row r="39" spans="1:3" s="149" customFormat="1">
      <c r="A39" s="758">
        <f t="shared" si="0"/>
        <v>31</v>
      </c>
      <c r="B39" s="759"/>
      <c r="C39" s="760"/>
    </row>
    <row r="40" spans="1:3" s="149" customFormat="1">
      <c r="A40" s="758">
        <f t="shared" si="0"/>
        <v>32</v>
      </c>
      <c r="B40" s="759"/>
      <c r="C40" s="760"/>
    </row>
    <row r="41" spans="1:3" s="149" customFormat="1">
      <c r="A41" s="758">
        <f t="shared" si="0"/>
        <v>33</v>
      </c>
      <c r="B41" s="759"/>
      <c r="C41" s="760"/>
    </row>
    <row r="42" spans="1:3" s="149" customFormat="1">
      <c r="A42" s="758">
        <f t="shared" si="0"/>
        <v>34</v>
      </c>
      <c r="B42" s="759"/>
      <c r="C42" s="760"/>
    </row>
    <row r="43" spans="1:3" s="149" customFormat="1">
      <c r="A43" s="758">
        <f t="shared" si="0"/>
        <v>35</v>
      </c>
      <c r="B43" s="759"/>
      <c r="C43" s="760"/>
    </row>
    <row r="44" spans="1:3" s="149" customFormat="1">
      <c r="A44" s="758">
        <f t="shared" si="0"/>
        <v>36</v>
      </c>
      <c r="B44" s="759"/>
      <c r="C44" s="760"/>
    </row>
    <row r="45" spans="1:3" s="149" customFormat="1">
      <c r="A45" s="758">
        <f t="shared" si="0"/>
        <v>37</v>
      </c>
      <c r="B45" s="759"/>
      <c r="C45" s="760"/>
    </row>
    <row r="46" spans="1:3" s="149" customFormat="1">
      <c r="A46" s="758">
        <f t="shared" si="0"/>
        <v>38</v>
      </c>
      <c r="B46" s="759"/>
      <c r="C46" s="760"/>
    </row>
    <row r="47" spans="1:3" s="149" customFormat="1">
      <c r="A47" s="758">
        <f t="shared" si="0"/>
        <v>39</v>
      </c>
      <c r="B47" s="759"/>
      <c r="C47" s="760"/>
    </row>
    <row r="48" spans="1:3" s="149" customFormat="1">
      <c r="A48" s="758">
        <f t="shared" si="0"/>
        <v>40</v>
      </c>
      <c r="B48" s="759"/>
      <c r="C48" s="760"/>
    </row>
    <row r="49" spans="1:3" s="149" customFormat="1">
      <c r="A49" s="758">
        <f t="shared" si="0"/>
        <v>41</v>
      </c>
      <c r="B49" s="759"/>
      <c r="C49" s="760"/>
    </row>
    <row r="50" spans="1:3" s="149" customFormat="1">
      <c r="A50" s="758">
        <f t="shared" si="0"/>
        <v>42</v>
      </c>
      <c r="B50" s="759"/>
      <c r="C50" s="760"/>
    </row>
    <row r="51" spans="1:3" s="149" customFormat="1">
      <c r="A51" s="758">
        <f t="shared" si="0"/>
        <v>43</v>
      </c>
      <c r="B51" s="759"/>
      <c r="C51" s="760"/>
    </row>
    <row r="52" spans="1:3" s="149" customFormat="1">
      <c r="A52" s="758">
        <f t="shared" si="0"/>
        <v>44</v>
      </c>
      <c r="B52" s="759"/>
      <c r="C52" s="760"/>
    </row>
    <row r="53" spans="1:3" s="149" customFormat="1">
      <c r="A53" s="1365">
        <f t="shared" si="0"/>
        <v>45</v>
      </c>
      <c r="B53" s="1094"/>
      <c r="C53" s="1366"/>
    </row>
    <row r="54" spans="1:3" s="149" customFormat="1" hidden="1">
      <c r="A54" s="1092">
        <f t="shared" si="0"/>
        <v>46</v>
      </c>
      <c r="B54" s="1093"/>
      <c r="C54" s="1262"/>
    </row>
    <row r="55" spans="1:3" s="149" customFormat="1" hidden="1">
      <c r="A55" s="758">
        <f t="shared" si="0"/>
        <v>47</v>
      </c>
      <c r="B55" s="759"/>
      <c r="C55" s="760"/>
    </row>
    <row r="56" spans="1:3" s="149" customFormat="1" hidden="1">
      <c r="A56" s="758">
        <f t="shared" si="0"/>
        <v>48</v>
      </c>
      <c r="B56" s="759"/>
      <c r="C56" s="760"/>
    </row>
    <row r="57" spans="1:3" s="149" customFormat="1" hidden="1">
      <c r="A57" s="758">
        <f t="shared" si="0"/>
        <v>49</v>
      </c>
      <c r="B57" s="759"/>
      <c r="C57" s="760"/>
    </row>
    <row r="58" spans="1:3" s="149" customFormat="1" hidden="1">
      <c r="A58" s="758">
        <f t="shared" si="0"/>
        <v>50</v>
      </c>
      <c r="B58" s="759"/>
      <c r="C58" s="760"/>
    </row>
    <row r="59" spans="1:3" s="149" customFormat="1" hidden="1">
      <c r="A59" s="758">
        <f t="shared" si="0"/>
        <v>51</v>
      </c>
      <c r="B59" s="759"/>
      <c r="C59" s="760"/>
    </row>
    <row r="60" spans="1:3" s="149" customFormat="1" hidden="1">
      <c r="A60" s="758">
        <f t="shared" si="0"/>
        <v>52</v>
      </c>
      <c r="B60" s="759"/>
      <c r="C60" s="760"/>
    </row>
    <row r="61" spans="1:3" s="149" customFormat="1" hidden="1">
      <c r="A61" s="758">
        <f t="shared" si="0"/>
        <v>53</v>
      </c>
      <c r="B61" s="759"/>
      <c r="C61" s="760"/>
    </row>
    <row r="62" spans="1:3" s="149" customFormat="1" hidden="1">
      <c r="A62" s="758">
        <f t="shared" si="0"/>
        <v>54</v>
      </c>
      <c r="B62" s="759"/>
      <c r="C62" s="760"/>
    </row>
    <row r="63" spans="1:3" s="149" customFormat="1" hidden="1">
      <c r="A63" s="758">
        <f t="shared" si="0"/>
        <v>55</v>
      </c>
      <c r="B63" s="759"/>
      <c r="C63" s="760"/>
    </row>
    <row r="64" spans="1:3" s="149" customFormat="1" hidden="1">
      <c r="A64" s="758">
        <f t="shared" si="0"/>
        <v>56</v>
      </c>
      <c r="B64" s="759"/>
      <c r="C64" s="760"/>
    </row>
    <row r="65" spans="1:3" s="149" customFormat="1" hidden="1">
      <c r="A65" s="758">
        <f t="shared" si="0"/>
        <v>57</v>
      </c>
      <c r="B65" s="759"/>
      <c r="C65" s="760"/>
    </row>
    <row r="66" spans="1:3" s="149" customFormat="1" hidden="1">
      <c r="A66" s="758">
        <f t="shared" si="0"/>
        <v>58</v>
      </c>
      <c r="B66" s="759"/>
      <c r="C66" s="760"/>
    </row>
    <row r="67" spans="1:3" s="149" customFormat="1" hidden="1">
      <c r="A67" s="758">
        <f t="shared" si="0"/>
        <v>59</v>
      </c>
      <c r="B67" s="759"/>
      <c r="C67" s="760"/>
    </row>
    <row r="68" spans="1:3" s="149" customFormat="1" hidden="1">
      <c r="A68" s="758">
        <f t="shared" si="0"/>
        <v>60</v>
      </c>
      <c r="B68" s="759"/>
      <c r="C68" s="760"/>
    </row>
    <row r="69" spans="1:3" s="149" customFormat="1" hidden="1">
      <c r="A69" s="758">
        <f t="shared" si="0"/>
        <v>61</v>
      </c>
      <c r="B69" s="759"/>
      <c r="C69" s="760"/>
    </row>
    <row r="70" spans="1:3" s="149" customFormat="1" hidden="1">
      <c r="A70" s="758">
        <f t="shared" si="0"/>
        <v>62</v>
      </c>
      <c r="B70" s="759"/>
      <c r="C70" s="760"/>
    </row>
    <row r="71" spans="1:3" s="149" customFormat="1" hidden="1">
      <c r="A71" s="758">
        <f t="shared" si="0"/>
        <v>63</v>
      </c>
      <c r="B71" s="759"/>
      <c r="C71" s="760"/>
    </row>
    <row r="72" spans="1:3" s="149" customFormat="1" hidden="1">
      <c r="A72" s="758">
        <f t="shared" si="0"/>
        <v>64</v>
      </c>
      <c r="B72" s="759"/>
      <c r="C72" s="760"/>
    </row>
    <row r="73" spans="1:3" s="149" customFormat="1" hidden="1">
      <c r="A73" s="758">
        <f t="shared" si="0"/>
        <v>65</v>
      </c>
      <c r="B73" s="759"/>
      <c r="C73" s="760"/>
    </row>
    <row r="74" spans="1:3" s="149" customFormat="1" hidden="1">
      <c r="A74" s="758">
        <f t="shared" si="0"/>
        <v>66</v>
      </c>
      <c r="B74" s="759"/>
      <c r="C74" s="760"/>
    </row>
    <row r="75" spans="1:3" s="149" customFormat="1" hidden="1">
      <c r="A75" s="758">
        <f>+A74+1</f>
        <v>67</v>
      </c>
      <c r="B75" s="761"/>
      <c r="C75" s="760"/>
    </row>
    <row r="76" spans="1:3" s="149" customFormat="1" hidden="1">
      <c r="A76" s="762">
        <f>+A75+1</f>
        <v>68</v>
      </c>
      <c r="B76" s="763"/>
      <c r="C76" s="764"/>
    </row>
    <row r="77" spans="1:3" s="149" customFormat="1" hidden="1">
      <c r="A77" s="765"/>
    </row>
    <row r="78" spans="1:3" s="149" customFormat="1" hidden="1">
      <c r="A78" s="765"/>
    </row>
    <row r="79" spans="1:3" s="149" customFormat="1" hidden="1">
      <c r="A79" s="765"/>
    </row>
    <row r="80" spans="1:3" s="149" customFormat="1" hidden="1">
      <c r="A80" s="765"/>
    </row>
    <row r="81" spans="1:3" s="149" customFormat="1" hidden="1">
      <c r="A81" s="765"/>
    </row>
    <row r="82" spans="1:3" s="149" customFormat="1" ht="15.75" hidden="1">
      <c r="A82" s="765"/>
      <c r="B82" s="659">
        <f>+'ANEXA 1'!B95</f>
        <v>0</v>
      </c>
    </row>
    <row r="83" spans="1:3" s="149" customFormat="1" ht="15">
      <c r="A83" s="765"/>
      <c r="B83" s="766"/>
    </row>
    <row r="84" spans="1:3" s="149" customFormat="1" ht="15.75">
      <c r="A84" s="765"/>
      <c r="B84" s="659" t="str">
        <f>+'ANEXA 1'!B94</f>
        <v>DIRECTOR  GENERAL,</v>
      </c>
    </row>
    <row r="85" spans="1:3" s="149" customFormat="1" ht="15.75">
      <c r="A85" s="765"/>
      <c r="B85" s="309"/>
    </row>
    <row r="86" spans="1:3" s="149" customFormat="1" ht="15.75">
      <c r="A86" s="765"/>
      <c r="B86" s="772" t="str">
        <f>+'ANEXA 1'!B96</f>
        <v>EC.ALBU DRINA</v>
      </c>
    </row>
    <row r="87" spans="1:3" s="149" customFormat="1" ht="15">
      <c r="A87" s="765"/>
      <c r="B87" s="1126">
        <f>+'ANEXA 1'!B97</f>
        <v>0</v>
      </c>
    </row>
    <row r="88" spans="1:3" s="149" customFormat="1">
      <c r="A88" s="765"/>
    </row>
    <row r="89" spans="1:3" s="149" customFormat="1" ht="15" customHeight="1">
      <c r="A89" s="765"/>
      <c r="B89" s="293"/>
      <c r="C89" s="293"/>
    </row>
    <row r="90" spans="1:3" s="149" customFormat="1" ht="15">
      <c r="A90" s="765"/>
      <c r="B90" s="767"/>
      <c r="C90" s="767"/>
    </row>
    <row r="91" spans="1:3" s="149" customFormat="1" ht="15">
      <c r="A91" s="765"/>
      <c r="B91" s="4555" t="str">
        <f>+'ANEXA 1'!D94</f>
        <v>DIRECTOR  EXECUTIV  ECONOMIC,</v>
      </c>
      <c r="C91" s="4555"/>
    </row>
    <row r="92" spans="1:3" s="149" customFormat="1">
      <c r="A92" s="765"/>
    </row>
    <row r="93" spans="1:3" s="149" customFormat="1" ht="15">
      <c r="A93" s="765"/>
      <c r="B93" s="4024" t="str">
        <f>+'ANEXA 1'!D96</f>
        <v>EC.BIRCU FLORINA</v>
      </c>
      <c r="C93" s="4024"/>
    </row>
    <row r="94" spans="1:3" s="149" customFormat="1">
      <c r="A94" s="765"/>
      <c r="B94" s="1066"/>
      <c r="C94" s="1066"/>
    </row>
    <row r="95" spans="1:3">
      <c r="A95" s="765"/>
      <c r="B95" s="768"/>
      <c r="C95" s="769"/>
    </row>
    <row r="96" spans="1:3">
      <c r="B96" s="1067"/>
      <c r="C96" s="1067"/>
    </row>
  </sheetData>
  <sheetProtection password="CF1D" sheet="1" objects="1" scenarios="1"/>
  <mergeCells count="6">
    <mergeCell ref="B93:C93"/>
    <mergeCell ref="A1:C1"/>
    <mergeCell ref="B3:C3"/>
    <mergeCell ref="B4:C4"/>
    <mergeCell ref="B5:C5"/>
    <mergeCell ref="B91:C91"/>
  </mergeCells>
  <pageMargins left="0.99027777777777781" right="0.32013888888888886" top="0.35972222222222222" bottom="0.52013888888888893" header="0.51180555555555551" footer="0.51180555555555551"/>
  <pageSetup paperSize="9" scale="87" firstPageNumber="0" orientation="portrait" horizontalDpi="300" verticalDpi="300" r:id="rId1"/>
  <headerFooter alignWithMargins="0"/>
  <rowBreaks count="1" manualBreakCount="1">
    <brk id="95" max="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1:I33"/>
  <sheetViews>
    <sheetView showZeros="0" workbookViewId="0">
      <selection activeCell="J19" sqref="J19"/>
    </sheetView>
  </sheetViews>
  <sheetFormatPr defaultColWidth="8.85546875" defaultRowHeight="12.75"/>
  <cols>
    <col min="1" max="1" width="8.85546875" style="1"/>
    <col min="2" max="2" width="52.140625" style="1" customWidth="1"/>
    <col min="3" max="3" width="20.42578125" style="1" customWidth="1"/>
    <col min="4" max="16384" width="8.85546875" style="1"/>
  </cols>
  <sheetData>
    <row r="1" spans="1:9" ht="15">
      <c r="A1" s="4554" t="str">
        <f>'ANEXA 1'!A1</f>
        <v>CASA  DE  ASIGURĂRI  DE  SĂNĂTATE MEHEDINTI</v>
      </c>
      <c r="B1" s="4554"/>
      <c r="C1" s="4554"/>
    </row>
    <row r="3" spans="1:9">
      <c r="A3" s="4319" t="s">
        <v>2402</v>
      </c>
      <c r="B3" s="4319"/>
      <c r="C3" s="4319"/>
      <c r="D3" s="1067"/>
      <c r="E3" s="1067"/>
      <c r="F3" s="1067"/>
      <c r="G3" s="1067"/>
      <c r="H3" s="1067"/>
    </row>
    <row r="4" spans="1:9">
      <c r="A4" s="4558" t="str">
        <f>'ANEXA 1'!A12</f>
        <v>la  data  de  30  IUNIE  2023</v>
      </c>
      <c r="B4" s="4558"/>
      <c r="C4" s="4558"/>
      <c r="D4" s="513"/>
      <c r="E4" s="513"/>
      <c r="F4" s="513"/>
      <c r="G4" s="513"/>
      <c r="H4" s="513"/>
    </row>
    <row r="7" spans="1:9" ht="25.9" customHeight="1">
      <c r="A7" s="2066" t="s">
        <v>2309</v>
      </c>
      <c r="B7" s="2067" t="s">
        <v>2310</v>
      </c>
      <c r="C7" s="2068" t="s">
        <v>2311</v>
      </c>
      <c r="D7" s="2069"/>
      <c r="E7" s="2069"/>
      <c r="F7" s="2069"/>
      <c r="H7" s="2069"/>
      <c r="I7" s="2069"/>
    </row>
    <row r="8" spans="1:9" ht="25.5">
      <c r="A8" s="2070">
        <v>1</v>
      </c>
      <c r="B8" s="2071" t="s">
        <v>2403</v>
      </c>
      <c r="C8" s="2072">
        <v>898784</v>
      </c>
      <c r="D8" s="7"/>
      <c r="E8" s="7"/>
      <c r="F8" s="7"/>
      <c r="G8" s="7"/>
      <c r="H8" s="7"/>
      <c r="I8" s="7"/>
    </row>
    <row r="9" spans="1:9" ht="27" customHeight="1">
      <c r="A9" s="2073">
        <v>2</v>
      </c>
      <c r="B9" s="2074" t="s">
        <v>2404</v>
      </c>
      <c r="C9" s="2075"/>
    </row>
    <row r="10" spans="1:9" ht="25.5">
      <c r="A10" s="2076">
        <v>3</v>
      </c>
      <c r="B10" s="2077" t="s">
        <v>2405</v>
      </c>
      <c r="C10" s="2078"/>
    </row>
    <row r="11" spans="1:9" ht="15.75">
      <c r="A11" s="2079"/>
      <c r="B11" s="2080" t="s">
        <v>231</v>
      </c>
      <c r="C11" s="2081">
        <f>SUM(C8:C10)</f>
        <v>898784</v>
      </c>
    </row>
    <row r="12" spans="1:9">
      <c r="A12" s="6"/>
      <c r="C12" s="6"/>
    </row>
    <row r="13" spans="1:9">
      <c r="A13" s="6"/>
    </row>
    <row r="14" spans="1:9">
      <c r="A14" s="6"/>
    </row>
    <row r="15" spans="1:9">
      <c r="A15" s="4319" t="s">
        <v>2406</v>
      </c>
      <c r="B15" s="4319"/>
      <c r="C15" s="4319"/>
    </row>
    <row r="16" spans="1:9">
      <c r="A16" s="4558" t="str">
        <f>'ANEXA 1'!A12:E12</f>
        <v>la  data  de  30  IUNIE  2023</v>
      </c>
      <c r="B16" s="4558"/>
      <c r="C16" s="4558"/>
    </row>
    <row r="18" spans="1:5">
      <c r="A18" s="2066" t="s">
        <v>2309</v>
      </c>
      <c r="B18" s="2067" t="s">
        <v>2310</v>
      </c>
      <c r="C18" s="2068" t="s">
        <v>2311</v>
      </c>
    </row>
    <row r="19" spans="1:5" ht="25.5">
      <c r="A19" s="2070">
        <v>1</v>
      </c>
      <c r="B19" s="2071" t="s">
        <v>2407</v>
      </c>
      <c r="C19" s="2072"/>
    </row>
    <row r="20" spans="1:5" ht="27" customHeight="1">
      <c r="A20" s="2073">
        <v>2</v>
      </c>
      <c r="B20" s="2074" t="s">
        <v>2408</v>
      </c>
      <c r="C20" s="2075"/>
    </row>
    <row r="21" spans="1:5" hidden="1">
      <c r="A21" s="2076"/>
      <c r="B21" s="2077"/>
      <c r="C21" s="2082"/>
    </row>
    <row r="22" spans="1:5" ht="15.75">
      <c r="A22" s="2079"/>
      <c r="B22" s="2080" t="s">
        <v>231</v>
      </c>
      <c r="C22" s="2081">
        <f>SUM(C19:C21)</f>
        <v>0</v>
      </c>
    </row>
    <row r="25" spans="1:5" ht="15">
      <c r="A25" s="4559" t="str">
        <f>'ANEXA 1'!B94</f>
        <v>DIRECTOR  GENERAL,</v>
      </c>
      <c r="B25" s="4559"/>
      <c r="C25" s="4556" t="str">
        <f>'ANEXA 1'!D94</f>
        <v>DIRECTOR  EXECUTIV  ECONOMIC,</v>
      </c>
      <c r="D25" s="4556"/>
      <c r="E25" s="4556"/>
    </row>
    <row r="27" spans="1:5" ht="15">
      <c r="A27" s="4313" t="str">
        <f>'ANEXA 1'!B96</f>
        <v>EC.ALBU DRINA</v>
      </c>
      <c r="B27" s="4313"/>
      <c r="C27" s="4556" t="str">
        <f>'ANEXA 1'!D96</f>
        <v>EC.BIRCU FLORINA</v>
      </c>
      <c r="D27" s="4556"/>
      <c r="E27" s="4556"/>
    </row>
    <row r="28" spans="1:5" ht="14.25">
      <c r="A28" s="4557">
        <f>'ANEXA 1'!B97</f>
        <v>0</v>
      </c>
      <c r="B28" s="4557"/>
    </row>
    <row r="31" spans="1:5" ht="15">
      <c r="B31" s="1821">
        <f>'ANEXA 1'!B99</f>
        <v>0</v>
      </c>
      <c r="C31" s="513">
        <f>'ANEXA 1'!D99</f>
        <v>0</v>
      </c>
    </row>
    <row r="33" spans="2:5" ht="15">
      <c r="B33" s="2065">
        <f>'ANEXA 1'!B101</f>
        <v>0</v>
      </c>
      <c r="C33" s="4313">
        <f>'ANEXA 1'!D101</f>
        <v>0</v>
      </c>
      <c r="D33" s="4313"/>
      <c r="E33" s="4313"/>
    </row>
  </sheetData>
  <sheetProtection password="CFDD" sheet="1" objects="1" scenarios="1"/>
  <mergeCells count="11">
    <mergeCell ref="A27:B27"/>
    <mergeCell ref="C27:E27"/>
    <mergeCell ref="A28:B28"/>
    <mergeCell ref="C33:E33"/>
    <mergeCell ref="A1:C1"/>
    <mergeCell ref="A3:C3"/>
    <mergeCell ref="A4:C4"/>
    <mergeCell ref="A15:C15"/>
    <mergeCell ref="A16:C16"/>
    <mergeCell ref="A25:B25"/>
    <mergeCell ref="C25:E25"/>
  </mergeCells>
  <pageMargins left="0.70866141732283472" right="0.70866141732283472" top="0.74803149606299213" bottom="0.74803149606299213"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2">
    <tabColor indexed="54"/>
  </sheetPr>
  <dimension ref="A1:H34"/>
  <sheetViews>
    <sheetView showZeros="0" tabSelected="1" topLeftCell="A13" workbookViewId="0">
      <selection activeCell="N10" sqref="N10"/>
    </sheetView>
  </sheetViews>
  <sheetFormatPr defaultColWidth="9.140625" defaultRowHeight="12.75"/>
  <cols>
    <col min="1" max="1" width="3.7109375" style="702" customWidth="1"/>
    <col min="2" max="2" width="36.140625" style="1031" customWidth="1"/>
    <col min="3" max="3" width="8.7109375" style="1006" customWidth="1"/>
    <col min="4" max="4" width="16.140625" style="1006" customWidth="1"/>
    <col min="5" max="5" width="16" style="1006" customWidth="1"/>
    <col min="6" max="6" width="15.140625" style="1006" customWidth="1"/>
    <col min="7" max="7" width="13.85546875" style="702" customWidth="1"/>
    <col min="8" max="16384" width="9.140625" style="702"/>
  </cols>
  <sheetData>
    <row r="1" spans="1:7" ht="15.75">
      <c r="A1" s="1004" t="str">
        <f>'ANEXA 1'!A1:E1</f>
        <v>CASA  DE  ASIGURĂRI  DE  SĂNĂTATE MEHEDINTI</v>
      </c>
    </row>
    <row r="2" spans="1:7">
      <c r="G2" s="1032" t="s">
        <v>1373</v>
      </c>
    </row>
    <row r="4" spans="1:7" ht="24.75" customHeight="1">
      <c r="A4" s="4570" t="s">
        <v>2186</v>
      </c>
      <c r="B4" s="4570"/>
      <c r="C4" s="4570"/>
      <c r="D4" s="4570"/>
      <c r="E4" s="4570"/>
      <c r="F4" s="4570"/>
      <c r="G4" s="4570"/>
    </row>
    <row r="5" spans="1:7">
      <c r="A5" s="4564" t="str">
        <f>'ANEXA 1'!A12</f>
        <v>la  data  de  30  IUNIE  2023</v>
      </c>
      <c r="B5" s="4564"/>
      <c r="C5" s="4564"/>
      <c r="D5" s="4564"/>
      <c r="E5" s="4564"/>
      <c r="F5" s="4564"/>
      <c r="G5" s="4564"/>
    </row>
    <row r="6" spans="1:7">
      <c r="A6" s="4571"/>
      <c r="B6" s="4571"/>
      <c r="C6" s="4571"/>
      <c r="D6" s="4571"/>
      <c r="E6" s="4571"/>
      <c r="F6" s="1008"/>
    </row>
    <row r="8" spans="1:7">
      <c r="G8" s="1006" t="s">
        <v>1031</v>
      </c>
    </row>
    <row r="9" spans="1:7" ht="35.450000000000003" customHeight="1">
      <c r="A9" s="4561" t="s">
        <v>1374</v>
      </c>
      <c r="B9" s="4575" t="s">
        <v>1375</v>
      </c>
      <c r="C9" s="4575" t="s">
        <v>1376</v>
      </c>
      <c r="D9" s="4575" t="s">
        <v>1377</v>
      </c>
      <c r="E9" s="4575" t="s">
        <v>1378</v>
      </c>
      <c r="F9" s="4575"/>
      <c r="G9" s="4576"/>
    </row>
    <row r="10" spans="1:7" ht="19.899999999999999" customHeight="1">
      <c r="A10" s="4562"/>
      <c r="B10" s="4577"/>
      <c r="C10" s="4577"/>
      <c r="D10" s="4577"/>
      <c r="E10" s="4577" t="s">
        <v>231</v>
      </c>
      <c r="F10" s="4577" t="s">
        <v>331</v>
      </c>
      <c r="G10" s="4578"/>
    </row>
    <row r="11" spans="1:7" ht="38.25">
      <c r="A11" s="4563"/>
      <c r="B11" s="4579"/>
      <c r="C11" s="4579"/>
      <c r="D11" s="4579"/>
      <c r="E11" s="4579"/>
      <c r="F11" s="1033" t="s">
        <v>1379</v>
      </c>
      <c r="G11" s="1034" t="s">
        <v>1380</v>
      </c>
    </row>
    <row r="12" spans="1:7" ht="24.75" customHeight="1">
      <c r="A12" s="1035">
        <v>1</v>
      </c>
      <c r="B12" s="1036" t="s">
        <v>840</v>
      </c>
      <c r="C12" s="938"/>
      <c r="D12" s="938"/>
      <c r="E12" s="946">
        <f>+F12+G12</f>
        <v>0</v>
      </c>
      <c r="F12" s="938"/>
      <c r="G12" s="939"/>
    </row>
    <row r="13" spans="1:7" ht="30" customHeight="1">
      <c r="A13" s="1018">
        <v>2</v>
      </c>
      <c r="B13" s="1019" t="s">
        <v>1381</v>
      </c>
      <c r="C13" s="940"/>
      <c r="D13" s="940"/>
      <c r="E13" s="947">
        <f>+F13+G13</f>
        <v>0</v>
      </c>
      <c r="F13" s="940"/>
      <c r="G13" s="941"/>
    </row>
    <row r="14" spans="1:7" ht="25.5">
      <c r="A14" s="1018">
        <v>3</v>
      </c>
      <c r="B14" s="1019" t="s">
        <v>1382</v>
      </c>
      <c r="C14" s="940"/>
      <c r="D14" s="940"/>
      <c r="E14" s="947">
        <f t="shared" ref="E14:E24" si="0">+F14+G14</f>
        <v>0</v>
      </c>
      <c r="F14" s="940"/>
      <c r="G14" s="942"/>
    </row>
    <row r="15" spans="1:7" ht="25.5">
      <c r="A15" s="1018">
        <v>4</v>
      </c>
      <c r="B15" s="1019" t="s">
        <v>1383</v>
      </c>
      <c r="C15" s="940"/>
      <c r="D15" s="940"/>
      <c r="E15" s="947">
        <f t="shared" si="0"/>
        <v>0</v>
      </c>
      <c r="F15" s="940"/>
      <c r="G15" s="942"/>
    </row>
    <row r="16" spans="1:7" ht="51">
      <c r="A16" s="1018">
        <v>5</v>
      </c>
      <c r="B16" s="1019" t="s">
        <v>1384</v>
      </c>
      <c r="C16" s="940"/>
      <c r="D16" s="940"/>
      <c r="E16" s="947">
        <f t="shared" si="0"/>
        <v>0</v>
      </c>
      <c r="F16" s="940"/>
      <c r="G16" s="942"/>
    </row>
    <row r="17" spans="1:8" ht="51">
      <c r="A17" s="1018">
        <v>6</v>
      </c>
      <c r="B17" s="1019" t="s">
        <v>1385</v>
      </c>
      <c r="C17" s="940"/>
      <c r="D17" s="940"/>
      <c r="E17" s="947">
        <f t="shared" si="0"/>
        <v>0</v>
      </c>
      <c r="F17" s="940"/>
      <c r="G17" s="942"/>
    </row>
    <row r="18" spans="1:8" ht="25.5">
      <c r="A18" s="1018">
        <v>7</v>
      </c>
      <c r="B18" s="1019" t="s">
        <v>1386</v>
      </c>
      <c r="C18" s="940"/>
      <c r="D18" s="940"/>
      <c r="E18" s="947">
        <f t="shared" si="0"/>
        <v>0</v>
      </c>
      <c r="F18" s="940"/>
      <c r="G18" s="942"/>
    </row>
    <row r="19" spans="1:8" ht="24.75" customHeight="1">
      <c r="A19" s="1018">
        <v>8</v>
      </c>
      <c r="B19" s="1019" t="s">
        <v>1387</v>
      </c>
      <c r="C19" s="940">
        <v>3</v>
      </c>
      <c r="D19" s="940">
        <v>6541</v>
      </c>
      <c r="E19" s="947">
        <f t="shared" si="0"/>
        <v>4140</v>
      </c>
      <c r="F19" s="940"/>
      <c r="G19" s="942">
        <v>4140</v>
      </c>
      <c r="H19" s="1020"/>
    </row>
    <row r="20" spans="1:8" ht="25.5">
      <c r="A20" s="1018">
        <v>9</v>
      </c>
      <c r="B20" s="1019" t="s">
        <v>1388</v>
      </c>
      <c r="C20" s="940"/>
      <c r="D20" s="940"/>
      <c r="E20" s="947">
        <f t="shared" si="0"/>
        <v>0</v>
      </c>
      <c r="F20" s="940"/>
      <c r="G20" s="942"/>
      <c r="H20" s="1020"/>
    </row>
    <row r="21" spans="1:8" ht="31.15" customHeight="1">
      <c r="A21" s="1018">
        <v>10</v>
      </c>
      <c r="B21" s="1019" t="s">
        <v>1389</v>
      </c>
      <c r="C21" s="940"/>
      <c r="D21" s="940"/>
      <c r="E21" s="947">
        <f t="shared" si="0"/>
        <v>0</v>
      </c>
      <c r="F21" s="940"/>
      <c r="G21" s="942"/>
    </row>
    <row r="22" spans="1:8" ht="21.75" customHeight="1">
      <c r="A22" s="1018">
        <v>11</v>
      </c>
      <c r="B22" s="1019" t="s">
        <v>1390</v>
      </c>
      <c r="C22" s="940"/>
      <c r="D22" s="940"/>
      <c r="E22" s="947">
        <f t="shared" si="0"/>
        <v>0</v>
      </c>
      <c r="F22" s="940"/>
      <c r="G22" s="942"/>
    </row>
    <row r="23" spans="1:8" ht="21.75" customHeight="1">
      <c r="A23" s="1037">
        <v>12</v>
      </c>
      <c r="B23" s="1038" t="s">
        <v>1391</v>
      </c>
      <c r="C23" s="952"/>
      <c r="D23" s="952"/>
      <c r="E23" s="947">
        <f t="shared" si="0"/>
        <v>0</v>
      </c>
      <c r="F23" s="952"/>
      <c r="G23" s="953"/>
    </row>
    <row r="24" spans="1:8" ht="39" customHeight="1">
      <c r="A24" s="1026">
        <v>13</v>
      </c>
      <c r="B24" s="1027" t="s">
        <v>1784</v>
      </c>
      <c r="C24" s="952"/>
      <c r="D24" s="952"/>
      <c r="E24" s="947">
        <f t="shared" si="0"/>
        <v>0</v>
      </c>
      <c r="F24" s="952"/>
      <c r="G24" s="953"/>
    </row>
    <row r="25" spans="1:8" ht="25.5" customHeight="1">
      <c r="A25" s="4565" t="s">
        <v>231</v>
      </c>
      <c r="B25" s="4566"/>
      <c r="C25" s="1039">
        <f>SUM(C12:C24)</f>
        <v>3</v>
      </c>
      <c r="D25" s="1039">
        <f>SUM(D12:D24)</f>
        <v>6541</v>
      </c>
      <c r="E25" s="1039">
        <f>SUM(E12:E24)</f>
        <v>4140</v>
      </c>
      <c r="F25" s="1039">
        <f>SUM(F12:F24)</f>
        <v>0</v>
      </c>
      <c r="G25" s="1040">
        <f>SUM(G12:G24)</f>
        <v>4140</v>
      </c>
    </row>
    <row r="26" spans="1:8" ht="28.5" customHeight="1"/>
    <row r="27" spans="1:8" s="1837" customFormat="1" ht="21" customHeight="1">
      <c r="B27" s="4580" t="str">
        <f>'ANEXA 1'!B94</f>
        <v>DIRECTOR  GENERAL,</v>
      </c>
      <c r="C27" s="4580"/>
      <c r="D27" s="1838"/>
      <c r="E27" s="4560" t="str">
        <f>'ANEXA 1'!D94</f>
        <v>DIRECTOR  EXECUTIV  ECONOMIC,</v>
      </c>
      <c r="F27" s="4560"/>
      <c r="G27" s="4560"/>
    </row>
    <row r="28" spans="1:8" ht="12.75" customHeight="1">
      <c r="B28" s="1029"/>
      <c r="C28" s="1030"/>
      <c r="D28" s="1030"/>
      <c r="E28" s="1877"/>
      <c r="F28" s="1877"/>
      <c r="G28" s="1875"/>
    </row>
    <row r="29" spans="1:8" ht="15.75">
      <c r="B29" s="4573" t="str">
        <f>'ANEXA 1'!B96</f>
        <v>EC.ALBU DRINA</v>
      </c>
      <c r="C29" s="4573"/>
      <c r="D29" s="1008"/>
      <c r="E29" s="4574" t="str">
        <f>'ANEXA 1'!D96</f>
        <v>EC.BIRCU FLORINA</v>
      </c>
      <c r="F29" s="4574"/>
      <c r="G29" s="4574"/>
    </row>
    <row r="30" spans="1:8">
      <c r="B30" s="4567">
        <f>'ANEXA 1'!B97</f>
        <v>0</v>
      </c>
      <c r="C30" s="4567"/>
    </row>
    <row r="32" spans="1:8" ht="15">
      <c r="B32" s="4572">
        <f>+'ANEXA 1'!B99</f>
        <v>0</v>
      </c>
      <c r="C32" s="4569"/>
      <c r="E32" s="4568">
        <f>'ANEXA 1'!D99</f>
        <v>0</v>
      </c>
      <c r="F32" s="4568"/>
      <c r="G32" s="4568"/>
    </row>
    <row r="33" spans="2:7" ht="15">
      <c r="B33" s="1647"/>
      <c r="C33" s="1577"/>
      <c r="E33" s="1645"/>
      <c r="F33" s="1645"/>
      <c r="G33" s="1646"/>
    </row>
    <row r="34" spans="2:7" ht="15">
      <c r="B34" s="4569">
        <f>+'ANEXA 1'!B101</f>
        <v>0</v>
      </c>
      <c r="C34" s="4569"/>
      <c r="E34" s="4568">
        <f>'ANEXA 1'!D101</f>
        <v>0</v>
      </c>
      <c r="F34" s="4568"/>
      <c r="G34" s="4568"/>
    </row>
  </sheetData>
  <sheetProtection password="CFDD" sheet="1" objects="1" scenarios="1"/>
  <mergeCells count="20">
    <mergeCell ref="E32:G32"/>
    <mergeCell ref="E34:G34"/>
    <mergeCell ref="B34:C34"/>
    <mergeCell ref="A4:G4"/>
    <mergeCell ref="A6:E6"/>
    <mergeCell ref="B32:C32"/>
    <mergeCell ref="B29:C29"/>
    <mergeCell ref="E29:G29"/>
    <mergeCell ref="E9:G9"/>
    <mergeCell ref="F10:G10"/>
    <mergeCell ref="E10:E11"/>
    <mergeCell ref="D9:D11"/>
    <mergeCell ref="B27:C27"/>
    <mergeCell ref="C9:C11"/>
    <mergeCell ref="B9:B11"/>
    <mergeCell ref="E27:G27"/>
    <mergeCell ref="A9:A11"/>
    <mergeCell ref="A5:G5"/>
    <mergeCell ref="A25:B25"/>
    <mergeCell ref="B30:C30"/>
  </mergeCells>
  <phoneticPr fontId="0" type="noConversion"/>
  <pageMargins left="0.51181102362204722" right="0" top="0.98425196850393704" bottom="0.98425196850393704" header="0.51181102362204722" footer="0.51181102362204722"/>
  <pageSetup scale="85" firstPageNumber="0" orientation="portrait" r:id="rId1"/>
  <headerFooter alignWithMargins="0">
    <oddFooter>&amp;A&amp;RPagina &amp;P</oddFooter>
  </headerFooter>
  <rowBreaks count="1" manualBreakCount="1">
    <brk id="34" max="6"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3">
    <tabColor indexed="54"/>
  </sheetPr>
  <dimension ref="A1:K27"/>
  <sheetViews>
    <sheetView showZeros="0" workbookViewId="0"/>
  </sheetViews>
  <sheetFormatPr defaultColWidth="9.140625" defaultRowHeight="12.75"/>
  <cols>
    <col min="1" max="1" width="5.140625" style="699" customWidth="1"/>
    <col min="2" max="2" width="48.5703125" style="914" customWidth="1"/>
    <col min="3" max="3" width="11.42578125" style="915" customWidth="1"/>
    <col min="4" max="4" width="22" style="915" customWidth="1"/>
    <col min="5" max="5" width="21" style="915" customWidth="1"/>
    <col min="6" max="6" width="9.140625" style="699"/>
    <col min="7" max="7" width="21.42578125" style="699" customWidth="1"/>
    <col min="8" max="8" width="14.42578125" style="699" customWidth="1"/>
    <col min="9" max="10" width="9.140625" style="699"/>
    <col min="11" max="11" width="40.28515625" style="699" customWidth="1"/>
    <col min="12" max="16384" width="9.140625" style="699"/>
  </cols>
  <sheetData>
    <row r="1" spans="1:11" ht="15.75">
      <c r="A1" s="916" t="str">
        <f>'ANEXA 1'!A1:E1</f>
        <v>CASA  DE  ASIGURĂRI  DE  SĂNĂTATE MEHEDINTI</v>
      </c>
    </row>
    <row r="2" spans="1:11">
      <c r="A2" s="917"/>
    </row>
    <row r="3" spans="1:11">
      <c r="A3" s="917"/>
      <c r="G3" s="922" t="s">
        <v>1392</v>
      </c>
    </row>
    <row r="4" spans="1:11">
      <c r="E4" s="954"/>
    </row>
    <row r="5" spans="1:11">
      <c r="E5" s="922"/>
    </row>
    <row r="7" spans="1:11" s="923" customFormat="1" ht="48.75" customHeight="1">
      <c r="A7" s="4582" t="s">
        <v>2187</v>
      </c>
      <c r="B7" s="4582"/>
      <c r="C7" s="4582"/>
      <c r="D7" s="4582"/>
      <c r="E7" s="4582"/>
      <c r="G7" s="4583"/>
      <c r="H7" s="4583"/>
      <c r="I7" s="4583"/>
      <c r="J7" s="4583"/>
      <c r="K7" s="4583"/>
    </row>
    <row r="8" spans="1:11" s="923" customFormat="1">
      <c r="A8" s="4585" t="str">
        <f>'ANEXA 1'!A12</f>
        <v>la  data  de  30  IUNIE  2023</v>
      </c>
      <c r="B8" s="4585"/>
      <c r="C8" s="4585"/>
      <c r="D8" s="4585"/>
      <c r="E8" s="4585"/>
      <c r="G8" s="4583"/>
      <c r="H8" s="4583"/>
      <c r="I8" s="4583"/>
      <c r="J8" s="4583"/>
      <c r="K8" s="4583"/>
    </row>
    <row r="9" spans="1:11" ht="23.25" hidden="1" customHeight="1">
      <c r="A9" s="4584"/>
      <c r="B9" s="4584"/>
      <c r="C9" s="4584"/>
      <c r="D9" s="4584"/>
      <c r="E9" s="4584"/>
    </row>
    <row r="11" spans="1:11">
      <c r="E11" s="915" t="s">
        <v>1640</v>
      </c>
    </row>
    <row r="12" spans="1:11" ht="61.5" customHeight="1">
      <c r="A12" s="948" t="s">
        <v>1393</v>
      </c>
      <c r="B12" s="937" t="s">
        <v>1375</v>
      </c>
      <c r="C12" s="949" t="s">
        <v>1376</v>
      </c>
      <c r="D12" s="936" t="s">
        <v>1394</v>
      </c>
      <c r="E12" s="937" t="s">
        <v>1395</v>
      </c>
    </row>
    <row r="13" spans="1:11" ht="27.75" customHeight="1">
      <c r="A13" s="945">
        <v>1</v>
      </c>
      <c r="B13" s="951" t="s">
        <v>1387</v>
      </c>
      <c r="C13" s="950"/>
      <c r="D13" s="943"/>
      <c r="E13" s="944"/>
      <c r="G13" s="919"/>
    </row>
    <row r="14" spans="1:11" ht="33" customHeight="1"/>
    <row r="15" spans="1:11" ht="12.75" customHeight="1">
      <c r="B15" s="920"/>
      <c r="F15" s="915"/>
    </row>
    <row r="16" spans="1:11">
      <c r="B16" s="920"/>
      <c r="C16" s="921"/>
      <c r="D16" s="921"/>
      <c r="E16" s="921"/>
      <c r="F16" s="921"/>
    </row>
    <row r="17" spans="2:7" ht="15.75">
      <c r="B17" s="64" t="str">
        <f>'ANEXA 1'!B94</f>
        <v>DIRECTOR  GENERAL,</v>
      </c>
      <c r="C17" s="918"/>
      <c r="D17" s="4581" t="str">
        <f>'ANEXA 1'!D94:E94</f>
        <v>DIRECTOR  EXECUTIV  ECONOMIC,</v>
      </c>
      <c r="E17" s="4581"/>
      <c r="F17" s="981"/>
    </row>
    <row r="18" spans="2:7" ht="15">
      <c r="D18" s="1878"/>
      <c r="E18" s="1878"/>
    </row>
    <row r="19" spans="2:7" ht="15.75">
      <c r="B19" s="928" t="str">
        <f>'ANEXA 1'!B96</f>
        <v>EC.ALBU DRINA</v>
      </c>
      <c r="D19" s="4581" t="str">
        <f>'ANEXA 1'!D96:E96</f>
        <v>EC.BIRCU FLORINA</v>
      </c>
      <c r="E19" s="4581"/>
      <c r="F19" s="982"/>
      <c r="G19" s="982"/>
    </row>
    <row r="20" spans="2:7" ht="14.25">
      <c r="B20" s="1912">
        <f>'ANEXA 1'!B97</f>
        <v>0</v>
      </c>
    </row>
    <row r="25" spans="2:7" ht="15">
      <c r="B25" s="1648">
        <f>+'ANEXA 1'!B99</f>
        <v>0</v>
      </c>
      <c r="D25" s="4063">
        <f>'ANEXA 1'!D99:E99</f>
        <v>0</v>
      </c>
      <c r="E25" s="4063"/>
    </row>
    <row r="26" spans="2:7" ht="15">
      <c r="B26" s="1649"/>
      <c r="D26" s="1467"/>
      <c r="E26" s="1467"/>
    </row>
    <row r="27" spans="2:7" ht="15">
      <c r="B27" s="1649">
        <f>+'ANEXA 1'!B101</f>
        <v>0</v>
      </c>
      <c r="D27" s="4063">
        <f>'ANEXA 1'!D101:E101</f>
        <v>0</v>
      </c>
      <c r="E27" s="4063"/>
    </row>
  </sheetData>
  <sheetProtection password="CFDD" sheet="1" objects="1" scenarios="1"/>
  <mergeCells count="9">
    <mergeCell ref="D25:E25"/>
    <mergeCell ref="D27:E27"/>
    <mergeCell ref="D19:E19"/>
    <mergeCell ref="A7:E7"/>
    <mergeCell ref="G7:K7"/>
    <mergeCell ref="G8:K8"/>
    <mergeCell ref="A9:E9"/>
    <mergeCell ref="D17:E17"/>
    <mergeCell ref="A8:E8"/>
  </mergeCells>
  <phoneticPr fontId="0" type="noConversion"/>
  <printOptions horizontalCentered="1"/>
  <pageMargins left="0.70833333333333337" right="0" top="0.74791666666666667" bottom="0.74791666666666667" header="0.51180555555555551" footer="0.51180555555555551"/>
  <pageSetup paperSize="9" firstPageNumber="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4">
    <tabColor indexed="54"/>
  </sheetPr>
  <dimension ref="A1:H37"/>
  <sheetViews>
    <sheetView showZeros="0" topLeftCell="A11" workbookViewId="0">
      <selection activeCell="N10" sqref="N10"/>
    </sheetView>
  </sheetViews>
  <sheetFormatPr defaultColWidth="9.140625" defaultRowHeight="12.75"/>
  <cols>
    <col min="1" max="1" width="3.7109375" style="702" customWidth="1"/>
    <col min="2" max="2" width="37" style="1005" customWidth="1"/>
    <col min="3" max="3" width="10" style="1006" customWidth="1"/>
    <col min="4" max="4" width="14.85546875" style="1006" customWidth="1"/>
    <col min="5" max="5" width="18.140625" style="1006" customWidth="1"/>
    <col min="6" max="6" width="13.140625" style="1006" customWidth="1"/>
    <col min="7" max="7" width="13" style="702" customWidth="1"/>
    <col min="8" max="16384" width="9.140625" style="702"/>
  </cols>
  <sheetData>
    <row r="1" spans="1:7" ht="15.75">
      <c r="A1" s="1004" t="str">
        <f>'ANEXA 1'!A1:E1</f>
        <v>CASA  DE  ASIGURĂRI  DE  SĂNĂTATE MEHEDINTI</v>
      </c>
    </row>
    <row r="2" spans="1:7">
      <c r="G2" s="1007" t="s">
        <v>1396</v>
      </c>
    </row>
    <row r="4" spans="1:7" s="1005" customFormat="1" ht="39" customHeight="1">
      <c r="A4" s="4586" t="s">
        <v>2188</v>
      </c>
      <c r="B4" s="4586"/>
      <c r="C4" s="4586"/>
      <c r="D4" s="4586"/>
      <c r="E4" s="4586"/>
      <c r="F4" s="4586"/>
      <c r="G4" s="4586"/>
    </row>
    <row r="5" spans="1:7">
      <c r="A5" s="4589" t="str">
        <f>'ANEXA 1'!A12:E12</f>
        <v>la  data  de  30  IUNIE  2023</v>
      </c>
      <c r="B5" s="4589"/>
      <c r="C5" s="4589"/>
      <c r="D5" s="4589"/>
      <c r="E5" s="4589"/>
      <c r="F5" s="4589"/>
      <c r="G5" s="4589"/>
    </row>
    <row r="6" spans="1:7" ht="4.5" customHeight="1">
      <c r="A6" s="4571"/>
      <c r="B6" s="4571"/>
      <c r="C6" s="4571"/>
      <c r="D6" s="4571"/>
      <c r="E6" s="4571"/>
      <c r="F6" s="1008"/>
    </row>
    <row r="7" spans="1:7" ht="1.5" hidden="1" customHeight="1"/>
    <row r="8" spans="1:7">
      <c r="G8" s="1006" t="s">
        <v>1031</v>
      </c>
    </row>
    <row r="9" spans="1:7" ht="12.75" customHeight="1">
      <c r="A9" s="4561" t="s">
        <v>1374</v>
      </c>
      <c r="B9" s="4575" t="s">
        <v>1375</v>
      </c>
      <c r="C9" s="4575" t="s">
        <v>1376</v>
      </c>
      <c r="D9" s="4575" t="s">
        <v>1397</v>
      </c>
      <c r="E9" s="4592" t="s">
        <v>1398</v>
      </c>
      <c r="F9" s="4594" t="s">
        <v>1399</v>
      </c>
      <c r="G9" s="4595"/>
    </row>
    <row r="10" spans="1:7" ht="72.75" customHeight="1">
      <c r="A10" s="4587"/>
      <c r="B10" s="4588"/>
      <c r="C10" s="4588"/>
      <c r="D10" s="4588"/>
      <c r="E10" s="4593"/>
      <c r="F10" s="1009" t="s">
        <v>1400</v>
      </c>
      <c r="G10" s="1010" t="s">
        <v>1401</v>
      </c>
    </row>
    <row r="11" spans="1:7" ht="12" customHeight="1">
      <c r="A11" s="1011">
        <v>0</v>
      </c>
      <c r="B11" s="1012">
        <v>1</v>
      </c>
      <c r="C11" s="1012">
        <v>2</v>
      </c>
      <c r="D11" s="1012">
        <v>3</v>
      </c>
      <c r="E11" s="1013" t="s">
        <v>1402</v>
      </c>
      <c r="F11" s="1012">
        <v>5</v>
      </c>
      <c r="G11" s="1014">
        <v>6</v>
      </c>
    </row>
    <row r="12" spans="1:7" ht="22.5" customHeight="1">
      <c r="A12" s="1015">
        <v>1</v>
      </c>
      <c r="B12" s="1016" t="s">
        <v>840</v>
      </c>
      <c r="C12" s="1001"/>
      <c r="D12" s="1001"/>
      <c r="E12" s="1017">
        <f>+F12+G12</f>
        <v>0</v>
      </c>
      <c r="F12" s="938"/>
      <c r="G12" s="1900"/>
    </row>
    <row r="13" spans="1:7" ht="25.5">
      <c r="A13" s="1018">
        <v>2</v>
      </c>
      <c r="B13" s="1019" t="s">
        <v>1381</v>
      </c>
      <c r="C13" s="940"/>
      <c r="D13" s="940"/>
      <c r="E13" s="947">
        <f>+F13+G13</f>
        <v>0</v>
      </c>
      <c r="F13" s="938"/>
      <c r="G13" s="1900"/>
    </row>
    <row r="14" spans="1:7" ht="25.5">
      <c r="A14" s="1018">
        <v>3</v>
      </c>
      <c r="B14" s="1019" t="s">
        <v>1382</v>
      </c>
      <c r="C14" s="940"/>
      <c r="D14" s="940"/>
      <c r="E14" s="947">
        <f t="shared" ref="E14:E24" si="0">+F14+G14</f>
        <v>0</v>
      </c>
      <c r="F14" s="938"/>
      <c r="G14" s="1900"/>
    </row>
    <row r="15" spans="1:7" ht="25.5">
      <c r="A15" s="1018">
        <v>4</v>
      </c>
      <c r="B15" s="1019" t="s">
        <v>1383</v>
      </c>
      <c r="C15" s="940"/>
      <c r="D15" s="940"/>
      <c r="E15" s="947">
        <f t="shared" si="0"/>
        <v>0</v>
      </c>
      <c r="F15" s="938"/>
      <c r="G15" s="1900"/>
    </row>
    <row r="16" spans="1:7" ht="51">
      <c r="A16" s="1018">
        <v>5</v>
      </c>
      <c r="B16" s="1019" t="s">
        <v>1384</v>
      </c>
      <c r="C16" s="940"/>
      <c r="D16" s="940"/>
      <c r="E16" s="947">
        <f t="shared" si="0"/>
        <v>0</v>
      </c>
      <c r="F16" s="938"/>
      <c r="G16" s="1900"/>
    </row>
    <row r="17" spans="1:8" ht="51">
      <c r="A17" s="1018">
        <v>6</v>
      </c>
      <c r="B17" s="1019" t="s">
        <v>1385</v>
      </c>
      <c r="C17" s="940"/>
      <c r="D17" s="940"/>
      <c r="E17" s="947">
        <f t="shared" si="0"/>
        <v>0</v>
      </c>
      <c r="F17" s="938"/>
      <c r="G17" s="1900"/>
    </row>
    <row r="18" spans="1:8" ht="25.5">
      <c r="A18" s="1018">
        <v>7</v>
      </c>
      <c r="B18" s="1019" t="s">
        <v>1386</v>
      </c>
      <c r="C18" s="940"/>
      <c r="D18" s="940"/>
      <c r="E18" s="947">
        <f t="shared" si="0"/>
        <v>0</v>
      </c>
      <c r="F18" s="938"/>
      <c r="G18" s="1900"/>
    </row>
    <row r="19" spans="1:8" ht="21.75" customHeight="1">
      <c r="A19" s="1018">
        <v>8</v>
      </c>
      <c r="B19" s="1019" t="s">
        <v>1387</v>
      </c>
      <c r="C19" s="940">
        <v>144</v>
      </c>
      <c r="D19" s="940">
        <v>214145</v>
      </c>
      <c r="E19" s="947">
        <f t="shared" si="0"/>
        <v>62147</v>
      </c>
      <c r="F19" s="938"/>
      <c r="G19" s="1900">
        <v>62147</v>
      </c>
      <c r="H19" s="1020"/>
    </row>
    <row r="20" spans="1:8" ht="25.5">
      <c r="A20" s="1018">
        <v>9</v>
      </c>
      <c r="B20" s="1019" t="s">
        <v>1388</v>
      </c>
      <c r="C20" s="940"/>
      <c r="D20" s="940"/>
      <c r="E20" s="947">
        <f t="shared" si="0"/>
        <v>0</v>
      </c>
      <c r="F20" s="938"/>
      <c r="G20" s="1900"/>
      <c r="H20" s="1020"/>
    </row>
    <row r="21" spans="1:8" ht="21" customHeight="1">
      <c r="A21" s="1018">
        <v>10</v>
      </c>
      <c r="B21" s="1019" t="s">
        <v>1389</v>
      </c>
      <c r="C21" s="940"/>
      <c r="D21" s="940"/>
      <c r="E21" s="947">
        <f t="shared" si="0"/>
        <v>0</v>
      </c>
      <c r="F21" s="938"/>
      <c r="G21" s="1900"/>
    </row>
    <row r="22" spans="1:8" ht="21" customHeight="1">
      <c r="A22" s="1021">
        <v>11</v>
      </c>
      <c r="B22" s="1022" t="s">
        <v>1390</v>
      </c>
      <c r="C22" s="998"/>
      <c r="D22" s="998"/>
      <c r="E22" s="1023">
        <f t="shared" si="0"/>
        <v>0</v>
      </c>
      <c r="F22" s="938"/>
      <c r="G22" s="1900"/>
    </row>
    <row r="23" spans="1:8" ht="21" customHeight="1">
      <c r="A23" s="1024">
        <v>12</v>
      </c>
      <c r="B23" s="1025" t="s">
        <v>1391</v>
      </c>
      <c r="C23" s="999"/>
      <c r="D23" s="999"/>
      <c r="E23" s="1023">
        <f t="shared" si="0"/>
        <v>0</v>
      </c>
      <c r="F23" s="1901"/>
      <c r="G23" s="1902"/>
    </row>
    <row r="24" spans="1:8" ht="30" customHeight="1">
      <c r="A24" s="1026">
        <v>13</v>
      </c>
      <c r="B24" s="1027" t="s">
        <v>1784</v>
      </c>
      <c r="C24" s="1000"/>
      <c r="D24" s="1000"/>
      <c r="E24" s="1023">
        <f t="shared" si="0"/>
        <v>0</v>
      </c>
      <c r="F24" s="1901"/>
      <c r="G24" s="1902"/>
    </row>
    <row r="25" spans="1:8" ht="21.75" customHeight="1">
      <c r="A25" s="4590" t="s">
        <v>231</v>
      </c>
      <c r="B25" s="4591"/>
      <c r="C25" s="1002">
        <f>SUM(C12:C24)</f>
        <v>144</v>
      </c>
      <c r="D25" s="1002">
        <f>SUM(D12:D24)</f>
        <v>214145</v>
      </c>
      <c r="E25" s="1002">
        <f>SUM(E12:E24)</f>
        <v>62147</v>
      </c>
      <c r="F25" s="1002">
        <f>SUM(F12:F24)</f>
        <v>0</v>
      </c>
      <c r="G25" s="1003">
        <f>SUM(G12:G24)</f>
        <v>62147</v>
      </c>
    </row>
    <row r="26" spans="1:8" ht="12.75" customHeight="1"/>
    <row r="27" spans="1:8" ht="18" customHeight="1">
      <c r="B27" s="4596"/>
      <c r="C27" s="4596"/>
      <c r="D27" s="4596"/>
      <c r="E27" s="4596"/>
      <c r="F27" s="4596"/>
      <c r="G27" s="4596"/>
    </row>
    <row r="28" spans="1:8" ht="12.75" customHeight="1">
      <c r="B28" s="1028"/>
    </row>
    <row r="29" spans="1:8" ht="12.75" customHeight="1">
      <c r="B29" s="4010" t="str">
        <f>'ANEXA 1'!B94</f>
        <v>DIRECTOR  GENERAL,</v>
      </c>
      <c r="C29" s="4010"/>
      <c r="E29" s="4597" t="str">
        <f>'ANEXA 1'!D94</f>
        <v>DIRECTOR  EXECUTIV  ECONOMIC,</v>
      </c>
      <c r="F29" s="4597"/>
      <c r="G29" s="4597"/>
    </row>
    <row r="30" spans="1:8" ht="12.75" customHeight="1">
      <c r="B30" s="1029"/>
      <c r="E30" s="1879"/>
      <c r="F30" s="1879"/>
      <c r="G30" s="1875"/>
    </row>
    <row r="31" spans="1:8" ht="15.75">
      <c r="B31" s="4573" t="str">
        <f>'ANEXA 1'!B96</f>
        <v>EC.ALBU DRINA</v>
      </c>
      <c r="C31" s="4573"/>
      <c r="D31" s="1030"/>
      <c r="E31" s="4574" t="str">
        <f>'ANEXA 1'!D96</f>
        <v>EC.BIRCU FLORINA</v>
      </c>
      <c r="F31" s="4574"/>
      <c r="G31" s="4574"/>
    </row>
    <row r="32" spans="1:8">
      <c r="B32" s="4567">
        <f>'ANEXA 1'!B97</f>
        <v>0</v>
      </c>
      <c r="C32" s="4567"/>
      <c r="D32" s="1008"/>
    </row>
    <row r="35" spans="2:7" ht="15">
      <c r="B35" s="4572">
        <f>+'ANEXA 1'!B99</f>
        <v>0</v>
      </c>
      <c r="C35" s="4569"/>
      <c r="E35" s="4568">
        <f>'ANEXA 1'!D99</f>
        <v>0</v>
      </c>
      <c r="F35" s="4568"/>
      <c r="G35" s="4568"/>
    </row>
    <row r="36" spans="2:7" ht="15">
      <c r="B36" s="1647"/>
      <c r="C36" s="1577"/>
    </row>
    <row r="37" spans="2:7" ht="15">
      <c r="B37" s="4569">
        <f>+'ANEXA 1'!B101</f>
        <v>0</v>
      </c>
      <c r="C37" s="4569"/>
      <c r="E37" s="4568">
        <f>'ANEXA 1'!D101</f>
        <v>0</v>
      </c>
      <c r="F37" s="4568"/>
      <c r="G37" s="4568"/>
    </row>
  </sheetData>
  <sheetProtection password="CFDD" sheet="1" objects="1" scenarios="1"/>
  <mergeCells count="20">
    <mergeCell ref="E35:G35"/>
    <mergeCell ref="E37:G37"/>
    <mergeCell ref="B27:G27"/>
    <mergeCell ref="B35:C35"/>
    <mergeCell ref="B31:C31"/>
    <mergeCell ref="B29:C29"/>
    <mergeCell ref="E29:G29"/>
    <mergeCell ref="E31:G31"/>
    <mergeCell ref="B37:C37"/>
    <mergeCell ref="B32:C32"/>
    <mergeCell ref="A25:B25"/>
    <mergeCell ref="C9:C10"/>
    <mergeCell ref="D9:D10"/>
    <mergeCell ref="E9:E10"/>
    <mergeCell ref="F9:G9"/>
    <mergeCell ref="A4:G4"/>
    <mergeCell ref="A6:E6"/>
    <mergeCell ref="A9:A10"/>
    <mergeCell ref="B9:B10"/>
    <mergeCell ref="A5:G5"/>
  </mergeCells>
  <phoneticPr fontId="0" type="noConversion"/>
  <pageMargins left="0.74803149606299213" right="0" top="0.98425196850393704" bottom="0.98425196850393704" header="0.51181102362204722" footer="0.51181102362204722"/>
  <pageSetup scale="82" firstPageNumber="0" orientation="portrait" r:id="rId1"/>
  <headerFooter alignWithMargins="0">
    <oddFooter>&amp;A&amp;RPagina &amp;P</oddFooter>
  </headerFooter>
  <rowBreaks count="1" manualBreakCount="1">
    <brk id="38" max="6"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4">
    <tabColor theme="3" tint="0.59999389629810485"/>
  </sheetPr>
  <dimension ref="A1:O28"/>
  <sheetViews>
    <sheetView showZeros="0" workbookViewId="0">
      <selection activeCell="H10" sqref="H10"/>
    </sheetView>
  </sheetViews>
  <sheetFormatPr defaultColWidth="9.140625" defaultRowHeight="12.75"/>
  <cols>
    <col min="1" max="1" width="13.85546875" style="92" customWidth="1"/>
    <col min="2" max="2" width="20.42578125" style="92" customWidth="1"/>
    <col min="3" max="3" width="22.42578125" style="92" customWidth="1"/>
    <col min="4" max="4" width="21" style="92" customWidth="1"/>
    <col min="5" max="5" width="20.28515625" style="92" customWidth="1"/>
    <col min="6" max="6" width="18.28515625" style="92" customWidth="1"/>
    <col min="7" max="7" width="22.7109375" style="92" customWidth="1"/>
    <col min="8" max="8" width="9.140625" style="92"/>
    <col min="9" max="9" width="9.140625" style="2474"/>
    <col min="10" max="16384" width="9.140625" style="92"/>
  </cols>
  <sheetData>
    <row r="1" spans="1:15" ht="15.75">
      <c r="A1" s="1004" t="str">
        <f>+'ANEXA 1'!A1:E1</f>
        <v>CASA  DE  ASIGURĂRI  DE  SĂNĂTATE MEHEDINTI</v>
      </c>
    </row>
    <row r="3" spans="1:15" ht="18.75">
      <c r="A3" s="4598" t="s">
        <v>2047</v>
      </c>
      <c r="B3" s="4598"/>
      <c r="C3" s="4598"/>
      <c r="D3" s="4598"/>
      <c r="E3" s="4598"/>
      <c r="F3" s="4598"/>
      <c r="G3" s="4598"/>
      <c r="H3" s="1253"/>
      <c r="I3" s="2475"/>
      <c r="J3" s="1253"/>
      <c r="K3" s="1253"/>
      <c r="L3" s="1253"/>
      <c r="M3" s="1253"/>
      <c r="N3" s="1253"/>
      <c r="O3" s="1253"/>
    </row>
    <row r="4" spans="1:15" ht="18.75">
      <c r="A4" s="4598" t="s">
        <v>2120</v>
      </c>
      <c r="B4" s="4598"/>
      <c r="C4" s="4598"/>
      <c r="D4" s="4598"/>
      <c r="E4" s="4598"/>
      <c r="F4" s="4598"/>
      <c r="G4" s="4598"/>
      <c r="H4" s="1253"/>
      <c r="I4" s="2475"/>
      <c r="J4" s="1253"/>
      <c r="K4" s="1253"/>
      <c r="L4" s="1253"/>
      <c r="M4" s="1253"/>
      <c r="N4" s="1253"/>
      <c r="O4" s="1253"/>
    </row>
    <row r="5" spans="1:15" ht="15.75">
      <c r="A5" s="4599" t="str">
        <f>'ANEXA 1'!A12:E12</f>
        <v>la  data  de  30  IUNIE  2023</v>
      </c>
      <c r="B5" s="4599"/>
      <c r="C5" s="4599"/>
      <c r="D5" s="4599"/>
      <c r="E5" s="4599"/>
      <c r="F5" s="4599"/>
      <c r="G5" s="4599"/>
    </row>
    <row r="6" spans="1:15">
      <c r="G6" s="1252" t="s">
        <v>1031</v>
      </c>
    </row>
    <row r="7" spans="1:15" ht="84" customHeight="1">
      <c r="A7" s="1668" t="s">
        <v>2046</v>
      </c>
      <c r="B7" s="1669" t="s">
        <v>1115</v>
      </c>
      <c r="C7" s="1669" t="s">
        <v>2045</v>
      </c>
      <c r="D7" s="1669" t="s">
        <v>2044</v>
      </c>
      <c r="E7" s="1669" t="s">
        <v>2043</v>
      </c>
      <c r="F7" s="1927" t="s">
        <v>2330</v>
      </c>
      <c r="G7" s="1670" t="s">
        <v>2189</v>
      </c>
    </row>
    <row r="8" spans="1:15" ht="31.5">
      <c r="A8" s="1251" t="s">
        <v>2042</v>
      </c>
      <c r="B8" s="1250">
        <f>B9+B10+B11+B12+B13+B14+B15+B16+B17</f>
        <v>197697</v>
      </c>
      <c r="C8" s="1250">
        <f t="shared" ref="C8:G8" si="0">C9+C10+C11+C12+C13+C14+C15+C16+C17</f>
        <v>87319</v>
      </c>
      <c r="D8" s="1250">
        <f t="shared" si="0"/>
        <v>62147</v>
      </c>
      <c r="E8" s="1250">
        <f t="shared" si="0"/>
        <v>15988</v>
      </c>
      <c r="F8" s="1250">
        <f t="shared" si="0"/>
        <v>54883</v>
      </c>
      <c r="G8" s="1249">
        <f t="shared" si="0"/>
        <v>151998</v>
      </c>
      <c r="I8" s="2476" t="str">
        <f>IF(G8&lt;0,"eroare"," ")</f>
        <v xml:space="preserve"> </v>
      </c>
    </row>
    <row r="9" spans="1:15" ht="26.45" customHeight="1">
      <c r="A9" s="3868">
        <v>2023</v>
      </c>
      <c r="B9" s="3869"/>
      <c r="C9" s="3856">
        <v>87319</v>
      </c>
      <c r="D9" s="3856">
        <v>32436</v>
      </c>
      <c r="E9" s="3856"/>
      <c r="F9" s="3973">
        <v>54883</v>
      </c>
      <c r="G9" s="3871">
        <f t="shared" ref="G9:G17" si="1">+B9+C9-D9-E9-F9</f>
        <v>0</v>
      </c>
      <c r="I9" s="2476" t="str">
        <f>IF(G9&lt;0,"eroare"," ")</f>
        <v xml:space="preserve"> </v>
      </c>
    </row>
    <row r="10" spans="1:15" ht="30.6" customHeight="1">
      <c r="A10" s="3868">
        <v>2022</v>
      </c>
      <c r="B10" s="3870"/>
      <c r="C10" s="3869"/>
      <c r="D10" s="3870"/>
      <c r="E10" s="3870"/>
      <c r="F10" s="3870"/>
      <c r="G10" s="3871">
        <f t="shared" si="1"/>
        <v>0</v>
      </c>
      <c r="I10" s="2476" t="str">
        <f t="shared" ref="I10:I17" si="2">IF(G10&lt;0,"eroare"," ")</f>
        <v xml:space="preserve"> </v>
      </c>
    </row>
    <row r="11" spans="1:15" ht="25.15" customHeight="1">
      <c r="A11" s="3868">
        <v>2021</v>
      </c>
      <c r="B11" s="3870"/>
      <c r="C11" s="3869"/>
      <c r="D11" s="3870"/>
      <c r="E11" s="3870"/>
      <c r="F11" s="3870"/>
      <c r="G11" s="3872">
        <f>+B11+C11-D11-E11-F11</f>
        <v>0</v>
      </c>
      <c r="I11" s="2476" t="str">
        <f t="shared" si="2"/>
        <v xml:space="preserve"> </v>
      </c>
    </row>
    <row r="12" spans="1:15" ht="21.6" customHeight="1">
      <c r="A12" s="3873">
        <v>2020</v>
      </c>
      <c r="B12" s="3971">
        <v>6964</v>
      </c>
      <c r="C12" s="3874"/>
      <c r="D12" s="3870">
        <v>200</v>
      </c>
      <c r="E12" s="3870"/>
      <c r="F12" s="3870"/>
      <c r="G12" s="3872">
        <f t="shared" si="1"/>
        <v>6764</v>
      </c>
      <c r="I12" s="2476" t="str">
        <f t="shared" si="2"/>
        <v xml:space="preserve"> </v>
      </c>
    </row>
    <row r="13" spans="1:15" ht="26.1" customHeight="1">
      <c r="A13" s="3873">
        <v>2019</v>
      </c>
      <c r="B13" s="3971">
        <v>1736</v>
      </c>
      <c r="C13" s="3875"/>
      <c r="D13" s="3971"/>
      <c r="E13" s="3870"/>
      <c r="F13" s="3870"/>
      <c r="G13" s="3872">
        <f t="shared" si="1"/>
        <v>1736</v>
      </c>
      <c r="I13" s="2476" t="str">
        <f t="shared" si="2"/>
        <v xml:space="preserve"> </v>
      </c>
    </row>
    <row r="14" spans="1:15" ht="22.15" customHeight="1">
      <c r="A14" s="3873">
        <v>2018</v>
      </c>
      <c r="B14" s="3971">
        <v>52809</v>
      </c>
      <c r="C14" s="3875"/>
      <c r="D14" s="3971">
        <v>2001</v>
      </c>
      <c r="E14" s="3870">
        <v>3034</v>
      </c>
      <c r="F14" s="3870"/>
      <c r="G14" s="3872">
        <f t="shared" si="1"/>
        <v>47774</v>
      </c>
      <c r="I14" s="2476" t="str">
        <f t="shared" si="2"/>
        <v xml:space="preserve"> </v>
      </c>
    </row>
    <row r="15" spans="1:15" ht="23.45" customHeight="1">
      <c r="A15" s="3873">
        <v>2017</v>
      </c>
      <c r="B15" s="3971">
        <v>39035</v>
      </c>
      <c r="C15" s="3875"/>
      <c r="D15" s="3971">
        <v>3927</v>
      </c>
      <c r="E15" s="3870">
        <v>1172</v>
      </c>
      <c r="F15" s="3870"/>
      <c r="G15" s="3872">
        <f t="shared" si="1"/>
        <v>33936</v>
      </c>
      <c r="I15" s="2476" t="str">
        <f t="shared" si="2"/>
        <v xml:space="preserve"> </v>
      </c>
    </row>
    <row r="16" spans="1:15" ht="22.9" customHeight="1">
      <c r="A16" s="3873">
        <v>2016</v>
      </c>
      <c r="B16" s="3971">
        <v>57605</v>
      </c>
      <c r="C16" s="3875"/>
      <c r="D16" s="3971">
        <v>18984</v>
      </c>
      <c r="E16" s="3870">
        <v>6159</v>
      </c>
      <c r="F16" s="3870"/>
      <c r="G16" s="3872">
        <f t="shared" si="1"/>
        <v>32462</v>
      </c>
      <c r="I16" s="2476" t="str">
        <f t="shared" si="2"/>
        <v xml:space="preserve"> </v>
      </c>
    </row>
    <row r="17" spans="1:9" ht="21" customHeight="1">
      <c r="A17" s="3876">
        <v>2015</v>
      </c>
      <c r="B17" s="3972">
        <v>39548</v>
      </c>
      <c r="C17" s="3877"/>
      <c r="D17" s="3972">
        <v>4599</v>
      </c>
      <c r="E17" s="3878">
        <v>5623</v>
      </c>
      <c r="F17" s="3878"/>
      <c r="G17" s="3879">
        <f t="shared" si="1"/>
        <v>29326</v>
      </c>
      <c r="I17" s="2476" t="str">
        <f t="shared" si="2"/>
        <v xml:space="preserve"> </v>
      </c>
    </row>
    <row r="19" spans="1:9" ht="15.75">
      <c r="B19" s="4385" t="str">
        <f>+'ANEXA 1'!B94</f>
        <v>DIRECTOR  GENERAL,</v>
      </c>
      <c r="C19" s="4385"/>
      <c r="D19" s="4276" t="str">
        <f>+'ANEXA 1'!D94:E94</f>
        <v>DIRECTOR  EXECUTIV  ECONOMIC,</v>
      </c>
      <c r="E19" s="4276"/>
      <c r="F19" s="4276"/>
      <c r="G19" s="4276"/>
    </row>
    <row r="20" spans="1:9" ht="15">
      <c r="C20" s="1240"/>
      <c r="D20" s="511"/>
      <c r="E20" s="511"/>
      <c r="F20" s="511"/>
      <c r="G20" s="1880"/>
    </row>
    <row r="21" spans="1:9" ht="15.75">
      <c r="B21" s="4311" t="str">
        <f>+'ANEXA 1'!B96</f>
        <v>EC.ALBU DRINA</v>
      </c>
      <c r="C21" s="4311"/>
      <c r="D21" s="4311" t="str">
        <f>+'ANEXA 1'!D96:E96</f>
        <v>EC.BIRCU FLORINA</v>
      </c>
      <c r="E21" s="4311"/>
      <c r="F21" s="4311"/>
      <c r="G21" s="4311"/>
    </row>
    <row r="22" spans="1:9" ht="14.25">
      <c r="B22" s="4600">
        <f>+'ANEXA 1'!B97</f>
        <v>0</v>
      </c>
      <c r="C22" s="4600"/>
    </row>
    <row r="23" spans="1:9">
      <c r="D23" s="1470"/>
      <c r="E23" s="1470"/>
      <c r="F23" s="1470"/>
      <c r="G23" s="1470"/>
    </row>
    <row r="26" spans="1:9" ht="15">
      <c r="B26" s="4285">
        <f>+'ANEXA 1'!B99</f>
        <v>0</v>
      </c>
      <c r="C26" s="4286"/>
      <c r="D26" s="4358">
        <f>'ANEXA 1'!D99:E99</f>
        <v>0</v>
      </c>
      <c r="E26" s="4358"/>
      <c r="F26" s="4358"/>
      <c r="G26" s="4358"/>
    </row>
    <row r="27" spans="1:9" ht="15">
      <c r="B27" s="1619"/>
      <c r="C27" s="1619"/>
    </row>
    <row r="28" spans="1:9" ht="15">
      <c r="B28" s="4286">
        <f>+'ANEXA 1'!B101</f>
        <v>0</v>
      </c>
      <c r="C28" s="4286"/>
      <c r="D28" s="4435">
        <f>'ANEXA 1'!D101</f>
        <v>0</v>
      </c>
      <c r="E28" s="4435"/>
      <c r="F28" s="4435"/>
      <c r="G28" s="4435"/>
    </row>
  </sheetData>
  <sheetProtection password="CFDD" sheet="1" objects="1" scenarios="1"/>
  <mergeCells count="12">
    <mergeCell ref="D28:G28"/>
    <mergeCell ref="D26:G26"/>
    <mergeCell ref="A3:G3"/>
    <mergeCell ref="A4:G4"/>
    <mergeCell ref="B19:C19"/>
    <mergeCell ref="D19:G19"/>
    <mergeCell ref="B21:C21"/>
    <mergeCell ref="D21:G21"/>
    <mergeCell ref="B26:C26"/>
    <mergeCell ref="B28:C28"/>
    <mergeCell ref="A5:G5"/>
    <mergeCell ref="B22:C22"/>
  </mergeCells>
  <dataValidations count="1">
    <dataValidation type="whole" allowBlank="1" showInputMessage="1" showErrorMessage="1" sqref="D9:F17">
      <formula1>0</formula1>
      <formula2>9.99999999999999E+21</formula2>
    </dataValidation>
  </dataValidations>
  <pageMargins left="0.7" right="0.7" top="0.75" bottom="0.75" header="0.3" footer="0.3"/>
  <pageSetup paperSize="9" scale="93"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61">
    <tabColor theme="3" tint="0.59999389629810485"/>
  </sheetPr>
  <dimension ref="A1:N28"/>
  <sheetViews>
    <sheetView showZeros="0" workbookViewId="0">
      <selection activeCell="I12" sqref="I11:I12"/>
    </sheetView>
  </sheetViews>
  <sheetFormatPr defaultColWidth="9.140625" defaultRowHeight="12.75"/>
  <cols>
    <col min="1" max="1" width="24.140625" style="92" customWidth="1"/>
    <col min="2" max="2" width="17.7109375" style="92" customWidth="1"/>
    <col min="3" max="3" width="21.7109375" style="92" customWidth="1"/>
    <col min="4" max="4" width="17.85546875" style="92" customWidth="1"/>
    <col min="5" max="5" width="23.7109375" style="92" customWidth="1"/>
    <col min="6" max="6" width="24.42578125" style="92" customWidth="1"/>
    <col min="7" max="7" width="9.140625" style="92"/>
    <col min="8" max="8" width="10.5703125" style="2474" customWidth="1"/>
    <col min="9" max="16384" width="9.140625" style="92"/>
  </cols>
  <sheetData>
    <row r="1" spans="1:14" ht="15.75">
      <c r="A1" s="1004" t="str">
        <f>+'ANEXA 1'!A1:E1</f>
        <v>CASA  DE  ASIGURĂRI  DE  SĂNĂTATE MEHEDINTI</v>
      </c>
    </row>
    <row r="3" spans="1:14" ht="18.75">
      <c r="A3" s="4598" t="s">
        <v>2498</v>
      </c>
      <c r="B3" s="4598"/>
      <c r="C3" s="4598"/>
      <c r="D3" s="4598"/>
      <c r="E3" s="4598"/>
      <c r="F3" s="4598"/>
      <c r="G3" s="1253"/>
      <c r="H3" s="2475"/>
      <c r="I3" s="1253"/>
      <c r="J3" s="1253"/>
      <c r="K3" s="1253"/>
      <c r="L3" s="1253"/>
      <c r="M3" s="1253"/>
      <c r="N3" s="1253"/>
    </row>
    <row r="4" spans="1:14" ht="18.75">
      <c r="A4" s="4598" t="s">
        <v>2049</v>
      </c>
      <c r="B4" s="4598"/>
      <c r="C4" s="4598"/>
      <c r="D4" s="4598"/>
      <c r="E4" s="4598"/>
      <c r="F4" s="4598"/>
      <c r="G4" s="1253"/>
      <c r="H4" s="2475"/>
      <c r="I4" s="1253"/>
      <c r="J4" s="1253"/>
      <c r="K4" s="1253"/>
      <c r="L4" s="1253"/>
      <c r="M4" s="1253"/>
      <c r="N4" s="1253"/>
    </row>
    <row r="5" spans="1:14" ht="15">
      <c r="A5" s="4016" t="str">
        <f>'ANEXA 1'!A12:E12</f>
        <v>la  data  de  30  IUNIE  2023</v>
      </c>
      <c r="B5" s="4016"/>
      <c r="C5" s="4016"/>
      <c r="D5" s="4016"/>
      <c r="E5" s="4016"/>
      <c r="F5" s="4016"/>
    </row>
    <row r="6" spans="1:14">
      <c r="F6" s="1252" t="s">
        <v>1031</v>
      </c>
    </row>
    <row r="7" spans="1:14" ht="36.6" customHeight="1">
      <c r="A7" s="4606" t="s">
        <v>2046</v>
      </c>
      <c r="B7" s="4601" t="s">
        <v>1115</v>
      </c>
      <c r="C7" s="4601" t="s">
        <v>2048</v>
      </c>
      <c r="D7" s="4605" t="s">
        <v>2127</v>
      </c>
      <c r="E7" s="4605"/>
      <c r="F7" s="4603" t="s">
        <v>2189</v>
      </c>
    </row>
    <row r="8" spans="1:14" ht="47.25">
      <c r="A8" s="4607"/>
      <c r="B8" s="4602"/>
      <c r="C8" s="4602"/>
      <c r="D8" s="2096" t="s">
        <v>2410</v>
      </c>
      <c r="E8" s="2096" t="s">
        <v>2411</v>
      </c>
      <c r="F8" s="4604"/>
    </row>
    <row r="9" spans="1:14" ht="33" customHeight="1">
      <c r="A9" s="1251" t="s">
        <v>2042</v>
      </c>
      <c r="B9" s="1250">
        <f>B10+B11+B12+B13+B14+B15+B16+B17</f>
        <v>5904666</v>
      </c>
      <c r="C9" s="1250">
        <f t="shared" ref="C9:F9" si="0">C10+C11+C12+C13+C14+C15+C16+C17</f>
        <v>8591839</v>
      </c>
      <c r="D9" s="1250">
        <f t="shared" si="0"/>
        <v>9013814</v>
      </c>
      <c r="E9" s="1250">
        <f t="shared" si="0"/>
        <v>0</v>
      </c>
      <c r="F9" s="1249">
        <f t="shared" si="0"/>
        <v>5482691</v>
      </c>
      <c r="H9" s="2476" t="str">
        <f>IF(F9&lt;0,"eroare"," ")</f>
        <v xml:space="preserve"> </v>
      </c>
    </row>
    <row r="10" spans="1:14" ht="33" customHeight="1">
      <c r="A10" s="3029">
        <v>2023</v>
      </c>
      <c r="B10" s="3435"/>
      <c r="C10" s="3436">
        <v>8591839</v>
      </c>
      <c r="D10" s="3870">
        <v>3109148</v>
      </c>
      <c r="E10" s="3870"/>
      <c r="F10" s="3437">
        <f>+B10+C10-D10-E10</f>
        <v>5482691</v>
      </c>
      <c r="H10" s="2476" t="str">
        <f>IF(F10&lt;0,"eroare"," ")</f>
        <v xml:space="preserve"> </v>
      </c>
    </row>
    <row r="11" spans="1:14" ht="25.9" customHeight="1">
      <c r="A11" s="2335">
        <v>2022</v>
      </c>
      <c r="B11" s="3974">
        <v>5904666</v>
      </c>
      <c r="C11" s="2336"/>
      <c r="D11" s="3870">
        <v>5904666</v>
      </c>
      <c r="E11" s="3870"/>
      <c r="F11" s="2337">
        <f>+B11+C11-D11-E11</f>
        <v>0</v>
      </c>
      <c r="H11" s="2476" t="str">
        <f t="shared" ref="H11:H17" si="1">IF(F11&lt;0,"eroare"," ")</f>
        <v xml:space="preserve"> </v>
      </c>
    </row>
    <row r="12" spans="1:14" ht="24" customHeight="1">
      <c r="A12" s="1835">
        <v>2021</v>
      </c>
      <c r="B12" s="1862"/>
      <c r="C12" s="1903"/>
      <c r="D12" s="3870"/>
      <c r="E12" s="3870"/>
      <c r="F12" s="1245">
        <f>+B12+C12-D12-E12</f>
        <v>0</v>
      </c>
      <c r="H12" s="2476" t="str">
        <f t="shared" si="1"/>
        <v xml:space="preserve"> </v>
      </c>
    </row>
    <row r="13" spans="1:14" ht="27" customHeight="1">
      <c r="A13" s="1248">
        <v>2020</v>
      </c>
      <c r="B13" s="1246"/>
      <c r="C13" s="1836"/>
      <c r="D13" s="3870"/>
      <c r="E13" s="3870"/>
      <c r="F13" s="1245">
        <f t="shared" ref="F13:F17" si="2">+B13+C13-D13-E13</f>
        <v>0</v>
      </c>
      <c r="H13" s="2476" t="str">
        <f t="shared" si="1"/>
        <v xml:space="preserve"> </v>
      </c>
    </row>
    <row r="14" spans="1:14" ht="25.5" customHeight="1">
      <c r="A14" s="1248">
        <v>2019</v>
      </c>
      <c r="B14" s="1246"/>
      <c r="C14" s="1247"/>
      <c r="D14" s="3870"/>
      <c r="E14" s="3870"/>
      <c r="F14" s="1245">
        <f t="shared" si="2"/>
        <v>0</v>
      </c>
      <c r="H14" s="2476" t="str">
        <f t="shared" si="1"/>
        <v xml:space="preserve"> </v>
      </c>
    </row>
    <row r="15" spans="1:14" ht="27" customHeight="1">
      <c r="A15" s="1248">
        <v>2018</v>
      </c>
      <c r="B15" s="1246"/>
      <c r="C15" s="1247"/>
      <c r="D15" s="3870"/>
      <c r="E15" s="3870"/>
      <c r="F15" s="1245">
        <f t="shared" si="2"/>
        <v>0</v>
      </c>
      <c r="H15" s="2476" t="str">
        <f t="shared" si="1"/>
        <v xml:space="preserve"> </v>
      </c>
    </row>
    <row r="16" spans="1:14" ht="26.25" customHeight="1">
      <c r="A16" s="1248">
        <v>2017</v>
      </c>
      <c r="B16" s="1246"/>
      <c r="C16" s="1247"/>
      <c r="D16" s="3870"/>
      <c r="E16" s="3870"/>
      <c r="F16" s="1245">
        <f t="shared" si="2"/>
        <v>0</v>
      </c>
      <c r="H16" s="2476" t="str">
        <f t="shared" si="1"/>
        <v xml:space="preserve"> </v>
      </c>
    </row>
    <row r="17" spans="1:8" ht="26.25" customHeight="1">
      <c r="A17" s="1244">
        <v>2016</v>
      </c>
      <c r="B17" s="1242"/>
      <c r="C17" s="1243"/>
      <c r="D17" s="3878"/>
      <c r="E17" s="3878"/>
      <c r="F17" s="1241">
        <f t="shared" si="2"/>
        <v>0</v>
      </c>
      <c r="H17" s="2476" t="str">
        <f t="shared" si="1"/>
        <v xml:space="preserve"> </v>
      </c>
    </row>
    <row r="18" spans="1:8" ht="18">
      <c r="H18" s="27"/>
    </row>
    <row r="20" spans="1:8" ht="15.75">
      <c r="A20" s="4385" t="str">
        <f>+'ANEXA 1'!B94</f>
        <v>DIRECTOR  GENERAL,</v>
      </c>
      <c r="B20" s="4385"/>
      <c r="C20" s="1651"/>
      <c r="D20" s="4276" t="str">
        <f>+'ANEXA 1'!D94:E94</f>
        <v>DIRECTOR  EXECUTIV  ECONOMIC,</v>
      </c>
      <c r="E20" s="4276"/>
      <c r="F20" s="4276"/>
    </row>
    <row r="21" spans="1:8" ht="15">
      <c r="C21" s="1240"/>
      <c r="D21" s="511"/>
      <c r="E21" s="511"/>
      <c r="F21" s="1880"/>
    </row>
    <row r="22" spans="1:8" ht="15.75">
      <c r="A22" s="4311" t="str">
        <f>+'ANEXA 1'!B96</f>
        <v>EC.ALBU DRINA</v>
      </c>
      <c r="B22" s="4311"/>
      <c r="C22" s="306"/>
      <c r="D22" s="4311" t="str">
        <f>+'ANEXA 1'!D96:E96</f>
        <v>EC.BIRCU FLORINA</v>
      </c>
      <c r="E22" s="4311"/>
      <c r="F22" s="4311"/>
    </row>
    <row r="23" spans="1:8" ht="15.75">
      <c r="A23" s="4600">
        <f>+'ANEXA 1'!B97</f>
        <v>0</v>
      </c>
      <c r="B23" s="4600"/>
      <c r="C23" s="1650"/>
      <c r="D23" s="4314"/>
      <c r="E23" s="4314"/>
      <c r="F23" s="4314"/>
    </row>
    <row r="26" spans="1:8" ht="15">
      <c r="A26" s="4285">
        <f>+'ANEXA 1'!B99</f>
        <v>0</v>
      </c>
      <c r="B26" s="4286"/>
      <c r="D26" s="4435">
        <f>'ANEXA 1'!D99:E99</f>
        <v>0</v>
      </c>
      <c r="E26" s="4435"/>
      <c r="F26" s="4435"/>
    </row>
    <row r="27" spans="1:8" ht="15">
      <c r="A27" s="1619"/>
      <c r="B27" s="1619"/>
      <c r="D27" s="1470"/>
      <c r="E27" s="1470"/>
      <c r="F27" s="1470"/>
    </row>
    <row r="28" spans="1:8" ht="15">
      <c r="A28" s="4286">
        <f>+'ANEXA 1'!B101</f>
        <v>0</v>
      </c>
      <c r="B28" s="4286"/>
      <c r="D28" s="4435">
        <f>'ANEXA 1'!D101:E101</f>
        <v>0</v>
      </c>
      <c r="E28" s="4435"/>
      <c r="F28" s="4435"/>
    </row>
  </sheetData>
  <sheetProtection password="CFDD" sheet="1" objects="1" scenarios="1"/>
  <mergeCells count="18">
    <mergeCell ref="A26:B26"/>
    <mergeCell ref="A28:B28"/>
    <mergeCell ref="A5:F5"/>
    <mergeCell ref="A23:B23"/>
    <mergeCell ref="D7:E7"/>
    <mergeCell ref="A7:A8"/>
    <mergeCell ref="B7:B8"/>
    <mergeCell ref="D26:F26"/>
    <mergeCell ref="D28:F28"/>
    <mergeCell ref="D23:F23"/>
    <mergeCell ref="A3:F3"/>
    <mergeCell ref="A4:F4"/>
    <mergeCell ref="D20:F20"/>
    <mergeCell ref="D22:F22"/>
    <mergeCell ref="A20:B20"/>
    <mergeCell ref="A22:B22"/>
    <mergeCell ref="C7:C8"/>
    <mergeCell ref="F7:F8"/>
  </mergeCells>
  <dataValidations count="1">
    <dataValidation type="whole" allowBlank="1" showInputMessage="1" showErrorMessage="1" sqref="D10:E17">
      <formula1>0</formula1>
      <formula2>9.99999999999999E+21</formula2>
    </dataValidation>
  </dataValidations>
  <printOptions horizontalCentered="1"/>
  <pageMargins left="0.70866141732283472" right="0.70866141732283472" top="0.74803149606299213" bottom="0.74803149606299213" header="0.31496062992125984" footer="0.31496062992125984"/>
  <pageSetup paperSize="9" scale="90" orientation="landscape" r:id="rId1"/>
  <headerFooter>
    <oddFooter>&amp;A&amp;RPagina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Zeros="0" zoomScaleNormal="100" workbookViewId="0">
      <selection sqref="A1:XFD1048576"/>
    </sheetView>
  </sheetViews>
  <sheetFormatPr defaultColWidth="8.85546875" defaultRowHeight="18"/>
  <cols>
    <col min="1" max="1" width="19.42578125" style="956" customWidth="1"/>
    <col min="2" max="2" width="5.85546875" style="956" customWidth="1"/>
    <col min="3" max="3" width="16.7109375" style="956" customWidth="1"/>
    <col min="4" max="4" width="24.85546875" style="956" customWidth="1"/>
    <col min="5" max="5" width="21.28515625" style="956" customWidth="1"/>
    <col min="6" max="6" width="23.7109375" style="956" customWidth="1"/>
    <col min="7" max="7" width="22.42578125" style="956" customWidth="1"/>
    <col min="8" max="9" width="8.85546875" style="956"/>
    <col min="10" max="10" width="8.85546875" style="3893"/>
    <col min="11" max="16384" width="8.85546875" style="956"/>
  </cols>
  <sheetData>
    <row r="1" spans="1:10">
      <c r="A1" s="3861" t="str">
        <f>'ANEXA 1'!A1:E1</f>
        <v>CASA  DE  ASIGURĂRI  DE  SĂNĂTATE MEHEDINTI</v>
      </c>
      <c r="B1" s="3850"/>
    </row>
    <row r="3" spans="1:10" ht="22.9" customHeight="1">
      <c r="A3" s="4608" t="s">
        <v>2639</v>
      </c>
      <c r="B3" s="4608"/>
      <c r="C3" s="4608"/>
      <c r="D3" s="4608"/>
      <c r="E3" s="4608"/>
      <c r="F3" s="4608"/>
      <c r="G3" s="4608"/>
    </row>
    <row r="4" spans="1:10">
      <c r="A4" s="4609" t="str">
        <f>'ANEXA 1'!A12</f>
        <v>la  data  de  30  IUNIE  2023</v>
      </c>
      <c r="B4" s="4609"/>
      <c r="C4" s="4609"/>
      <c r="D4" s="4609"/>
      <c r="E4" s="4609"/>
      <c r="F4" s="4609"/>
      <c r="G4" s="4609"/>
    </row>
    <row r="5" spans="1:10">
      <c r="G5" s="3866" t="s">
        <v>1031</v>
      </c>
    </row>
    <row r="6" spans="1:10" ht="60">
      <c r="A6" s="3862" t="s">
        <v>2628</v>
      </c>
      <c r="B6" s="3860" t="s">
        <v>2433</v>
      </c>
      <c r="C6" s="3860" t="s">
        <v>2629</v>
      </c>
      <c r="D6" s="3860" t="s">
        <v>2640</v>
      </c>
      <c r="E6" s="3867" t="s">
        <v>2641</v>
      </c>
      <c r="F6" s="3863" t="s">
        <v>2642</v>
      </c>
      <c r="G6" s="3864" t="s">
        <v>2180</v>
      </c>
    </row>
    <row r="7" spans="1:10" ht="66">
      <c r="A7" s="3865" t="s">
        <v>2643</v>
      </c>
      <c r="B7" s="3857">
        <v>1</v>
      </c>
      <c r="C7" s="3858">
        <f>C8+C9+C10+C11+C12+C13+C14</f>
        <v>5977568</v>
      </c>
      <c r="D7" s="3858">
        <f>D8</f>
        <v>9567562</v>
      </c>
      <c r="E7" s="3858">
        <f t="shared" ref="E7:F7" si="0">E8+E9+E10+E11+E12+E13+E14</f>
        <v>0</v>
      </c>
      <c r="F7" s="3858">
        <f t="shared" si="0"/>
        <v>9580511</v>
      </c>
      <c r="G7" s="3859">
        <f>C7+D7-E7-F7</f>
        <v>5964619</v>
      </c>
      <c r="J7" s="3894" t="str">
        <f>IF(F7&lt;&gt;'CREDITE BUG'!D25,"eroare"," ")</f>
        <v xml:space="preserve"> </v>
      </c>
    </row>
    <row r="8" spans="1:10" ht="18" customHeight="1">
      <c r="A8" s="1251" t="s">
        <v>2638</v>
      </c>
      <c r="B8" s="3853">
        <v>2</v>
      </c>
      <c r="C8" s="3880"/>
      <c r="D8" s="3881">
        <v>9567562</v>
      </c>
      <c r="E8" s="3881"/>
      <c r="F8" s="3881">
        <v>3602943</v>
      </c>
      <c r="G8" s="3882">
        <f>C8+D8-E8-F8</f>
        <v>5964619</v>
      </c>
      <c r="J8" s="3894" t="str">
        <f>IF(G8&lt;0,"eroare"," ")</f>
        <v xml:space="preserve"> </v>
      </c>
    </row>
    <row r="9" spans="1:10" ht="18" customHeight="1">
      <c r="A9" s="2335" t="s">
        <v>2632</v>
      </c>
      <c r="B9" s="3854">
        <v>3</v>
      </c>
      <c r="C9" s="3436">
        <v>5977568</v>
      </c>
      <c r="D9" s="3435"/>
      <c r="E9" s="3870"/>
      <c r="F9" s="3870">
        <v>5977568</v>
      </c>
      <c r="G9" s="3437">
        <f>C9-E9-F9</f>
        <v>0</v>
      </c>
      <c r="J9" s="3894" t="str">
        <f t="shared" ref="J9:J16" si="1">IF(G9&lt;0,"eroare"," ")</f>
        <v xml:space="preserve"> </v>
      </c>
    </row>
    <row r="10" spans="1:10" ht="18" customHeight="1">
      <c r="A10" s="2335" t="s">
        <v>2633</v>
      </c>
      <c r="B10" s="3854">
        <v>4</v>
      </c>
      <c r="C10" s="3436"/>
      <c r="D10" s="3435"/>
      <c r="E10" s="3870"/>
      <c r="F10" s="3870"/>
      <c r="G10" s="3437">
        <f t="shared" ref="G10:G14" si="2">C10-E10-F10</f>
        <v>0</v>
      </c>
      <c r="J10" s="3894" t="str">
        <f t="shared" si="1"/>
        <v xml:space="preserve"> </v>
      </c>
    </row>
    <row r="11" spans="1:10" ht="18" customHeight="1">
      <c r="A11" s="2335" t="s">
        <v>2634</v>
      </c>
      <c r="B11" s="3854">
        <v>5</v>
      </c>
      <c r="C11" s="3436"/>
      <c r="D11" s="3435"/>
      <c r="E11" s="3870"/>
      <c r="F11" s="3870"/>
      <c r="G11" s="3437">
        <f t="shared" si="2"/>
        <v>0</v>
      </c>
      <c r="J11" s="3894" t="str">
        <f t="shared" si="1"/>
        <v xml:space="preserve"> </v>
      </c>
    </row>
    <row r="12" spans="1:10" ht="18" customHeight="1">
      <c r="A12" s="2335" t="s">
        <v>2635</v>
      </c>
      <c r="B12" s="3854">
        <v>6</v>
      </c>
      <c r="C12" s="3436"/>
      <c r="D12" s="3435"/>
      <c r="E12" s="3870"/>
      <c r="F12" s="3870"/>
      <c r="G12" s="3437">
        <f t="shared" si="2"/>
        <v>0</v>
      </c>
      <c r="J12" s="3894" t="str">
        <f t="shared" si="1"/>
        <v xml:space="preserve"> </v>
      </c>
    </row>
    <row r="13" spans="1:10" ht="18" customHeight="1">
      <c r="A13" s="2335" t="s">
        <v>2636</v>
      </c>
      <c r="B13" s="3854">
        <v>7</v>
      </c>
      <c r="C13" s="3436"/>
      <c r="D13" s="3435"/>
      <c r="E13" s="3870"/>
      <c r="F13" s="3870"/>
      <c r="G13" s="3437">
        <f t="shared" si="2"/>
        <v>0</v>
      </c>
      <c r="J13" s="3894" t="str">
        <f t="shared" si="1"/>
        <v xml:space="preserve"> </v>
      </c>
    </row>
    <row r="14" spans="1:10" ht="28.5">
      <c r="A14" s="3883" t="s">
        <v>2637</v>
      </c>
      <c r="B14" s="3884">
        <v>8</v>
      </c>
      <c r="C14" s="3891"/>
      <c r="D14" s="3885"/>
      <c r="E14" s="3878"/>
      <c r="F14" s="3878"/>
      <c r="G14" s="3886">
        <f t="shared" si="2"/>
        <v>0</v>
      </c>
      <c r="J14" s="3894" t="str">
        <f t="shared" si="1"/>
        <v xml:space="preserve"> </v>
      </c>
    </row>
    <row r="15" spans="1:10" ht="31.5">
      <c r="A15" s="3851" t="s">
        <v>2630</v>
      </c>
      <c r="B15" s="3854">
        <v>9</v>
      </c>
      <c r="C15" s="3856">
        <v>5904666</v>
      </c>
      <c r="D15" s="3856">
        <v>8591839</v>
      </c>
      <c r="E15" s="3436"/>
      <c r="F15" s="3436">
        <v>9013814</v>
      </c>
      <c r="G15" s="3852">
        <f>C15+D15-E15-F15</f>
        <v>5482691</v>
      </c>
      <c r="J15" s="3894" t="str">
        <f t="shared" si="1"/>
        <v xml:space="preserve"> </v>
      </c>
    </row>
    <row r="16" spans="1:10" ht="31.5">
      <c r="A16" s="3887" t="s">
        <v>2631</v>
      </c>
      <c r="B16" s="3888">
        <v>10</v>
      </c>
      <c r="C16" s="3889">
        <v>72902</v>
      </c>
      <c r="D16" s="3889">
        <v>975723</v>
      </c>
      <c r="E16" s="3878"/>
      <c r="F16" s="3878">
        <v>566697</v>
      </c>
      <c r="G16" s="3890">
        <f>C16+D16-E16-F16</f>
        <v>481928</v>
      </c>
      <c r="J16" s="3894" t="str">
        <f t="shared" si="1"/>
        <v xml:space="preserve"> </v>
      </c>
    </row>
    <row r="17" spans="1:7" s="956" customFormat="1" ht="15.75">
      <c r="C17" s="3855" t="str">
        <f>IF(C7&lt;&gt;C15+C16,"eroare"," ")</f>
        <v xml:space="preserve"> </v>
      </c>
      <c r="D17" s="3855" t="str">
        <f>IF(D7&lt;&gt;D15+D16,"eroare"," ")</f>
        <v xml:space="preserve"> </v>
      </c>
      <c r="E17" s="3855" t="str">
        <f>IF(E7&lt;&gt;E15+E16,"eroare"," ")</f>
        <v xml:space="preserve"> </v>
      </c>
      <c r="F17" s="3855" t="str">
        <f>IF(F7&lt;&gt;F15+F16,"eroare"," ")</f>
        <v xml:space="preserve"> </v>
      </c>
      <c r="G17" s="3855" t="str">
        <f>IF(G7&lt;&gt;G15+G16,"eroare"," ")</f>
        <v xml:space="preserve"> </v>
      </c>
    </row>
    <row r="18" spans="1:7" s="956" customFormat="1" ht="6.6" customHeight="1"/>
    <row r="19" spans="1:7" s="956" customFormat="1" ht="15.75">
      <c r="A19" s="4610" t="str">
        <f>'ANEXA 1'!B94</f>
        <v>DIRECTOR  GENERAL,</v>
      </c>
      <c r="B19" s="4610"/>
      <c r="C19" s="4610"/>
      <c r="D19" s="4610"/>
      <c r="F19" s="4609" t="str">
        <f>'ANEXA 1'!D94</f>
        <v>DIRECTOR  EXECUTIV  ECONOMIC,</v>
      </c>
      <c r="G19" s="4609"/>
    </row>
    <row r="20" spans="1:7" s="956" customFormat="1" ht="15"/>
    <row r="21" spans="1:7" s="956" customFormat="1" ht="15.75">
      <c r="A21" s="4609" t="str">
        <f>'ANEXA 1'!B96</f>
        <v>EC.ALBU DRINA</v>
      </c>
      <c r="B21" s="4609"/>
      <c r="C21" s="4609"/>
      <c r="D21" s="4609"/>
      <c r="F21" s="4609" t="str">
        <f>'ANEXA 1'!D96</f>
        <v>EC.BIRCU FLORINA</v>
      </c>
      <c r="G21" s="4609"/>
    </row>
    <row r="22" spans="1:7" s="956" customFormat="1" ht="15">
      <c r="A22" s="4514">
        <f>'ANEXA 1'!B97</f>
        <v>0</v>
      </c>
      <c r="B22" s="4514"/>
      <c r="C22" s="4514"/>
      <c r="D22" s="4514"/>
    </row>
    <row r="23" spans="1:7" s="956" customFormat="1" ht="15"/>
    <row r="24" spans="1:7" s="956" customFormat="1" ht="15.6" customHeight="1">
      <c r="A24" s="4610">
        <f>'ANEXA 1'!B99</f>
        <v>0</v>
      </c>
      <c r="B24" s="4610"/>
      <c r="C24" s="4610"/>
      <c r="D24" s="4610"/>
      <c r="F24" s="4609">
        <f>'ANEXA 1'!D99</f>
        <v>0</v>
      </c>
      <c r="G24" s="4609"/>
    </row>
    <row r="25" spans="1:7" s="956" customFormat="1" ht="15">
      <c r="F25" s="957"/>
    </row>
    <row r="26" spans="1:7" s="956" customFormat="1" ht="15.75">
      <c r="A26" s="4609">
        <f>'ANEXA 1'!B101</f>
        <v>0</v>
      </c>
      <c r="B26" s="4609"/>
      <c r="C26" s="4609"/>
      <c r="D26" s="4609"/>
      <c r="F26" s="4609">
        <f>'ANEXA 1'!D101</f>
        <v>0</v>
      </c>
      <c r="G26" s="4609"/>
    </row>
    <row r="27" spans="1:7" s="956" customFormat="1" ht="15"/>
    <row r="28" spans="1:7" s="956" customFormat="1" ht="15"/>
    <row r="29" spans="1:7" s="956" customFormat="1" ht="15"/>
    <row r="30" spans="1:7" s="956" customFormat="1" ht="15"/>
    <row r="31" spans="1:7" s="956" customFormat="1" ht="15"/>
    <row r="32" spans="1:7" s="956" customFormat="1" ht="15"/>
  </sheetData>
  <sheetProtection password="CFDD" sheet="1" objects="1" scenarios="1"/>
  <mergeCells count="11">
    <mergeCell ref="A3:G3"/>
    <mergeCell ref="A4:G4"/>
    <mergeCell ref="A24:D24"/>
    <mergeCell ref="A26:D26"/>
    <mergeCell ref="F24:G24"/>
    <mergeCell ref="F26:G26"/>
    <mergeCell ref="F19:G19"/>
    <mergeCell ref="F21:G21"/>
    <mergeCell ref="A19:D19"/>
    <mergeCell ref="A21:D21"/>
    <mergeCell ref="A22:D22"/>
  </mergeCells>
  <dataValidations count="1">
    <dataValidation type="whole" allowBlank="1" showInputMessage="1" showErrorMessage="1" sqref="E8:F16">
      <formula1>0</formula1>
      <formula2>9.99999999999999E+21</formula2>
    </dataValidation>
  </dataValidations>
  <pageMargins left="0.70866141732283472" right="0.70866141732283472" top="0.15748031496062992" bottom="0.74803149606299213" header="0" footer="0.31496062992125984"/>
  <pageSetup paperSize="9" scale="97" orientation="landscape"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35"/>
  <sheetViews>
    <sheetView showZeros="0" topLeftCell="A19" workbookViewId="0">
      <selection activeCell="O30" sqref="O30"/>
    </sheetView>
  </sheetViews>
  <sheetFormatPr defaultColWidth="8.85546875" defaultRowHeight="14.25"/>
  <cols>
    <col min="1" max="1" width="6" style="1886" customWidth="1"/>
    <col min="2" max="5" width="8.85546875" style="1886"/>
    <col min="6" max="6" width="11.85546875" style="1886" bestFit="1" customWidth="1"/>
    <col min="7" max="7" width="8.85546875" style="1886"/>
    <col min="8" max="8" width="6.5703125" style="1886" customWidth="1"/>
    <col min="9" max="9" width="15.42578125" style="1886" customWidth="1"/>
    <col min="10" max="11" width="8.85546875" style="1886"/>
    <col min="12" max="12" width="12.85546875" style="1886" customWidth="1"/>
    <col min="13" max="16384" width="8.85546875" style="1886"/>
  </cols>
  <sheetData>
    <row r="1" spans="1:12" ht="15.75">
      <c r="A1" s="1894" t="str">
        <f>'ANEXA 1'!A1</f>
        <v>CASA  DE  ASIGURĂRI  DE  SĂNĂTATE MEHEDINTI</v>
      </c>
      <c r="I1" s="1887"/>
    </row>
    <row r="3" spans="1:12" ht="15.75">
      <c r="A3" s="4613" t="s">
        <v>2308</v>
      </c>
      <c r="B3" s="4613"/>
      <c r="C3" s="4613"/>
      <c r="D3" s="4613"/>
      <c r="E3" s="4613"/>
      <c r="F3" s="4613"/>
      <c r="G3" s="4613"/>
      <c r="H3" s="4613"/>
      <c r="I3" s="4613"/>
      <c r="J3" s="1888"/>
      <c r="K3" s="1888"/>
      <c r="L3" s="1889"/>
    </row>
    <row r="4" spans="1:12" ht="15">
      <c r="A4" s="4613" t="s">
        <v>2317</v>
      </c>
      <c r="B4" s="4613"/>
      <c r="C4" s="4613"/>
      <c r="D4" s="4613"/>
      <c r="E4" s="4613"/>
      <c r="F4" s="4613"/>
      <c r="G4" s="4613"/>
      <c r="H4" s="4613"/>
      <c r="I4" s="4613"/>
      <c r="J4" s="1890"/>
      <c r="K4" s="1890"/>
      <c r="L4" s="1889"/>
    </row>
    <row r="5" spans="1:12" ht="29.45" customHeight="1">
      <c r="A5" s="4621" t="str">
        <f>'ANEXA 1'!A12</f>
        <v>la  data  de  30  IUNIE  2023</v>
      </c>
      <c r="B5" s="4621"/>
      <c r="C5" s="4621"/>
      <c r="D5" s="4621"/>
      <c r="E5" s="4621"/>
      <c r="F5" s="4621"/>
      <c r="G5" s="4621"/>
      <c r="H5" s="4621"/>
      <c r="I5" s="4621"/>
    </row>
    <row r="6" spans="1:12" ht="20.45" customHeight="1">
      <c r="A6" s="4614" t="s">
        <v>2309</v>
      </c>
      <c r="B6" s="4616" t="s">
        <v>2310</v>
      </c>
      <c r="C6" s="4616"/>
      <c r="D6" s="4616"/>
      <c r="E6" s="4616"/>
      <c r="F6" s="4616"/>
      <c r="G6" s="4616"/>
      <c r="H6" s="4616"/>
      <c r="I6" s="4618" t="s">
        <v>2311</v>
      </c>
      <c r="J6" s="1891"/>
      <c r="K6" s="1891"/>
    </row>
    <row r="7" spans="1:12" ht="18.600000000000001" customHeight="1">
      <c r="A7" s="4615"/>
      <c r="B7" s="4617"/>
      <c r="C7" s="4617"/>
      <c r="D7" s="4617"/>
      <c r="E7" s="4617"/>
      <c r="F7" s="4617"/>
      <c r="G7" s="4617"/>
      <c r="H7" s="4617"/>
      <c r="I7" s="4619"/>
      <c r="J7" s="1891"/>
      <c r="K7" s="1891"/>
    </row>
    <row r="8" spans="1:12" ht="31.9" customHeight="1">
      <c r="A8" s="3220">
        <v>1</v>
      </c>
      <c r="B8" s="4620" t="s">
        <v>2312</v>
      </c>
      <c r="C8" s="4620"/>
      <c r="D8" s="4620"/>
      <c r="E8" s="4620"/>
      <c r="F8" s="4620"/>
      <c r="G8" s="4620"/>
      <c r="H8" s="4620"/>
      <c r="I8" s="3221">
        <v>105774</v>
      </c>
      <c r="K8" s="2476" t="str">
        <f t="shared" ref="K8:K24" si="0">IF(I8&lt;0,"eroare"," ")</f>
        <v xml:space="preserve"> </v>
      </c>
    </row>
    <row r="9" spans="1:12" ht="37.15" customHeight="1">
      <c r="A9" s="3222">
        <v>2</v>
      </c>
      <c r="B9" s="4623" t="s">
        <v>2313</v>
      </c>
      <c r="C9" s="4623"/>
      <c r="D9" s="4623"/>
      <c r="E9" s="4623"/>
      <c r="F9" s="4623"/>
      <c r="G9" s="4623"/>
      <c r="H9" s="4623"/>
      <c r="I9" s="3223"/>
      <c r="K9" s="2476" t="str">
        <f t="shared" si="0"/>
        <v xml:space="preserve"> </v>
      </c>
    </row>
    <row r="10" spans="1:12" ht="37.15" customHeight="1">
      <c r="A10" s="3224">
        <v>3</v>
      </c>
      <c r="B10" s="4622" t="s">
        <v>2321</v>
      </c>
      <c r="C10" s="4622"/>
      <c r="D10" s="4622"/>
      <c r="E10" s="4622"/>
      <c r="F10" s="4622"/>
      <c r="G10" s="4622"/>
      <c r="H10" s="4622"/>
      <c r="I10" s="3225">
        <f>I8-I9</f>
        <v>105774</v>
      </c>
      <c r="K10" s="2476" t="str">
        <f t="shared" si="0"/>
        <v xml:space="preserve"> </v>
      </c>
    </row>
    <row r="11" spans="1:12" ht="16.149999999999999" customHeight="1">
      <c r="A11" s="3217"/>
      <c r="B11" s="3216"/>
      <c r="C11" s="3216"/>
      <c r="D11" s="3216"/>
      <c r="E11" s="3216"/>
      <c r="F11" s="3216"/>
      <c r="G11" s="3216"/>
      <c r="H11" s="3216"/>
      <c r="I11" s="3218"/>
      <c r="J11" s="3219"/>
      <c r="K11" s="2476"/>
    </row>
    <row r="12" spans="1:12" ht="42.6" customHeight="1">
      <c r="A12" s="4625" t="s">
        <v>2314</v>
      </c>
      <c r="B12" s="4625"/>
      <c r="C12" s="4625"/>
      <c r="D12" s="4625"/>
      <c r="E12" s="4625"/>
      <c r="F12" s="4625"/>
      <c r="G12" s="4625"/>
      <c r="H12" s="4625"/>
      <c r="I12" s="4625"/>
    </row>
    <row r="13" spans="1:12" ht="18">
      <c r="A13" s="3226">
        <v>4</v>
      </c>
      <c r="B13" s="4624" t="s">
        <v>1115</v>
      </c>
      <c r="C13" s="4624"/>
      <c r="D13" s="4624"/>
      <c r="E13" s="4624"/>
      <c r="F13" s="4624"/>
      <c r="G13" s="4624"/>
      <c r="H13" s="4624"/>
      <c r="I13" s="3227">
        <v>449681</v>
      </c>
      <c r="K13" s="2476" t="str">
        <f t="shared" si="0"/>
        <v xml:space="preserve"> </v>
      </c>
    </row>
    <row r="14" spans="1:12" ht="27" customHeight="1">
      <c r="A14" s="3226">
        <v>5</v>
      </c>
      <c r="B14" s="4612" t="s">
        <v>2319</v>
      </c>
      <c r="C14" s="4612"/>
      <c r="D14" s="4612"/>
      <c r="E14" s="4612"/>
      <c r="F14" s="4612"/>
      <c r="G14" s="4612"/>
      <c r="H14" s="4612"/>
      <c r="I14" s="3227">
        <v>105774</v>
      </c>
      <c r="K14" s="2476" t="str">
        <f t="shared" si="0"/>
        <v xml:space="preserve"> </v>
      </c>
    </row>
    <row r="15" spans="1:12" ht="37.15" customHeight="1">
      <c r="A15" s="3226">
        <v>6</v>
      </c>
      <c r="B15" s="4612" t="s">
        <v>2318</v>
      </c>
      <c r="C15" s="4612"/>
      <c r="D15" s="4612"/>
      <c r="E15" s="4612"/>
      <c r="F15" s="4612"/>
      <c r="G15" s="4612"/>
      <c r="H15" s="4612"/>
      <c r="I15" s="3227">
        <v>365372</v>
      </c>
      <c r="K15" s="2476" t="str">
        <f t="shared" si="0"/>
        <v xml:space="preserve"> </v>
      </c>
    </row>
    <row r="16" spans="1:12" ht="26.45" customHeight="1">
      <c r="A16" s="3226">
        <v>7</v>
      </c>
      <c r="B16" s="4612" t="s">
        <v>2316</v>
      </c>
      <c r="C16" s="4612"/>
      <c r="D16" s="4612"/>
      <c r="E16" s="4612"/>
      <c r="F16" s="4612"/>
      <c r="G16" s="4612"/>
      <c r="H16" s="4612"/>
      <c r="I16" s="3227"/>
      <c r="K16" s="2476" t="str">
        <f t="shared" si="0"/>
        <v xml:space="preserve"> </v>
      </c>
    </row>
    <row r="17" spans="1:12" ht="39.6" customHeight="1">
      <c r="A17" s="3226">
        <v>8</v>
      </c>
      <c r="B17" s="4612" t="s">
        <v>2428</v>
      </c>
      <c r="C17" s="4612"/>
      <c r="D17" s="4612"/>
      <c r="E17" s="4612"/>
      <c r="F17" s="4612"/>
      <c r="G17" s="4612"/>
      <c r="H17" s="4612"/>
      <c r="I17" s="3228">
        <f>I13+I14-I15-I16</f>
        <v>190083</v>
      </c>
      <c r="K17" s="2476" t="str">
        <f t="shared" si="0"/>
        <v xml:space="preserve"> </v>
      </c>
    </row>
    <row r="18" spans="1:12" ht="12.6" customHeight="1">
      <c r="A18" s="3217"/>
      <c r="B18" s="3216"/>
      <c r="C18" s="3216"/>
      <c r="D18" s="3216"/>
      <c r="E18" s="3216"/>
      <c r="F18" s="3216"/>
      <c r="G18" s="3216"/>
      <c r="H18" s="3216"/>
      <c r="I18" s="3218"/>
      <c r="K18" s="2476"/>
    </row>
    <row r="19" spans="1:12" ht="40.15" customHeight="1">
      <c r="A19" s="4625" t="s">
        <v>2315</v>
      </c>
      <c r="B19" s="4625"/>
      <c r="C19" s="4625"/>
      <c r="D19" s="4625"/>
      <c r="E19" s="4625"/>
      <c r="F19" s="4625"/>
      <c r="G19" s="4625"/>
      <c r="H19" s="4625"/>
      <c r="I19" s="4625"/>
    </row>
    <row r="20" spans="1:12" ht="22.15" customHeight="1">
      <c r="A20" s="3220">
        <v>9</v>
      </c>
      <c r="B20" s="4631" t="s">
        <v>2320</v>
      </c>
      <c r="C20" s="4631"/>
      <c r="D20" s="4631"/>
      <c r="E20" s="4631"/>
      <c r="F20" s="4631"/>
      <c r="G20" s="4631"/>
      <c r="H20" s="4631"/>
      <c r="I20" s="3221">
        <v>319557</v>
      </c>
      <c r="K20" s="2476" t="str">
        <f t="shared" si="0"/>
        <v xml:space="preserve"> </v>
      </c>
    </row>
    <row r="21" spans="1:12" ht="33" customHeight="1">
      <c r="A21" s="3222">
        <v>10</v>
      </c>
      <c r="B21" s="4623" t="s">
        <v>2318</v>
      </c>
      <c r="C21" s="4623"/>
      <c r="D21" s="4623"/>
      <c r="E21" s="4623"/>
      <c r="F21" s="4623"/>
      <c r="G21" s="4623"/>
      <c r="H21" s="4623"/>
      <c r="I21" s="3229">
        <f>I15</f>
        <v>365372</v>
      </c>
      <c r="K21" s="2476" t="str">
        <f t="shared" si="0"/>
        <v xml:space="preserve"> </v>
      </c>
    </row>
    <row r="22" spans="1:12" ht="25.15" customHeight="1">
      <c r="A22" s="3222">
        <v>11</v>
      </c>
      <c r="B22" s="4632" t="s">
        <v>2322</v>
      </c>
      <c r="C22" s="4632"/>
      <c r="D22" s="4632"/>
      <c r="E22" s="4632"/>
      <c r="F22" s="4632"/>
      <c r="G22" s="4632"/>
      <c r="H22" s="4632"/>
      <c r="I22" s="3223">
        <v>29312</v>
      </c>
      <c r="K22" s="2476" t="str">
        <f t="shared" si="0"/>
        <v xml:space="preserve"> </v>
      </c>
    </row>
    <row r="23" spans="1:12" ht="32.450000000000003" customHeight="1">
      <c r="A23" s="3222">
        <v>12</v>
      </c>
      <c r="B23" s="4623" t="s">
        <v>2316</v>
      </c>
      <c r="C23" s="4623"/>
      <c r="D23" s="4623"/>
      <c r="E23" s="4623"/>
      <c r="F23" s="4623"/>
      <c r="G23" s="4623"/>
      <c r="H23" s="4623"/>
      <c r="I23" s="3223">
        <v>363520</v>
      </c>
      <c r="K23" s="2476" t="str">
        <f t="shared" si="0"/>
        <v xml:space="preserve"> </v>
      </c>
    </row>
    <row r="24" spans="1:12" ht="30.6" customHeight="1">
      <c r="A24" s="3224">
        <v>13</v>
      </c>
      <c r="B24" s="4622" t="s">
        <v>2427</v>
      </c>
      <c r="C24" s="4622"/>
      <c r="D24" s="4622"/>
      <c r="E24" s="4622"/>
      <c r="F24" s="4622"/>
      <c r="G24" s="4622"/>
      <c r="H24" s="4622"/>
      <c r="I24" s="3225">
        <f>I20+I21-I22-I23</f>
        <v>292097</v>
      </c>
      <c r="K24" s="2476" t="str">
        <f t="shared" si="0"/>
        <v xml:space="preserve"> </v>
      </c>
      <c r="L24" s="1895" t="str">
        <f>IF(I17+I24&lt;&gt;'ANEXA 40c'!E109+'ANEXA 40c'!E117,"eroare"," ")</f>
        <v xml:space="preserve"> </v>
      </c>
    </row>
    <row r="25" spans="1:12">
      <c r="B25" s="1891"/>
      <c r="C25" s="1891"/>
      <c r="D25" s="1891"/>
      <c r="E25" s="1891"/>
      <c r="F25" s="1891"/>
      <c r="G25" s="1891"/>
      <c r="H25" s="1891"/>
    </row>
    <row r="26" spans="1:12" ht="15.75">
      <c r="A26" s="4627" t="str">
        <f>'ANEXA 1'!B94</f>
        <v>DIRECTOR  GENERAL,</v>
      </c>
      <c r="B26" s="4627"/>
      <c r="C26" s="4627"/>
      <c r="D26" s="4627"/>
      <c r="E26" s="1899"/>
      <c r="F26" s="4628" t="str">
        <f>'ANEXA 1'!D94</f>
        <v>DIRECTOR  EXECUTIV  ECONOMIC,</v>
      </c>
      <c r="G26" s="4628"/>
      <c r="H26" s="4628"/>
      <c r="I26" s="4628"/>
    </row>
    <row r="27" spans="1:12">
      <c r="B27" s="1891"/>
      <c r="C27" s="1891"/>
      <c r="D27" s="1891"/>
      <c r="E27" s="1891"/>
      <c r="F27" s="1891"/>
      <c r="G27" s="1891"/>
      <c r="H27" s="1891"/>
    </row>
    <row r="28" spans="1:12" ht="15.75">
      <c r="A28" s="4629" t="str">
        <f>'ANEXA 1'!B96</f>
        <v>EC.ALBU DRINA</v>
      </c>
      <c r="B28" s="4629"/>
      <c r="C28" s="4629"/>
      <c r="D28" s="4629"/>
      <c r="E28" s="1897"/>
      <c r="F28" s="4629" t="str">
        <f>'ANEXA 1'!D96</f>
        <v>EC.BIRCU FLORINA</v>
      </c>
      <c r="G28" s="4629"/>
      <c r="H28" s="4629"/>
      <c r="I28" s="4629"/>
    </row>
    <row r="29" spans="1:12">
      <c r="A29" s="4630">
        <f>'ANEXA 1'!B97</f>
        <v>0</v>
      </c>
      <c r="B29" s="4630"/>
      <c r="C29" s="4630"/>
      <c r="D29" s="4630"/>
      <c r="E29" s="1891"/>
      <c r="F29" s="1891"/>
      <c r="G29" s="1891"/>
      <c r="H29" s="1891"/>
    </row>
    <row r="30" spans="1:12" ht="15">
      <c r="A30" s="1896"/>
      <c r="B30" s="1896"/>
      <c r="C30" s="1896"/>
      <c r="D30" s="1896"/>
      <c r="E30" s="1896"/>
      <c r="F30" s="1898"/>
      <c r="G30" s="1898"/>
      <c r="H30" s="1898"/>
      <c r="I30" s="1898"/>
    </row>
    <row r="31" spans="1:12">
      <c r="B31" s="1891"/>
      <c r="C31" s="1891"/>
      <c r="D31" s="1891"/>
      <c r="E31" s="1891"/>
      <c r="F31" s="1891"/>
      <c r="G31" s="1891"/>
      <c r="H31" s="1891"/>
    </row>
    <row r="32" spans="1:12" ht="15">
      <c r="A32" s="4626">
        <f>'ANEXA 1'!B99</f>
        <v>0</v>
      </c>
      <c r="B32" s="4626"/>
      <c r="C32" s="4626"/>
      <c r="D32" s="4626"/>
      <c r="E32" s="1893"/>
      <c r="F32" s="4611">
        <f>'ANEXA 1'!D99</f>
        <v>0</v>
      </c>
      <c r="G32" s="4611"/>
      <c r="H32" s="4611"/>
      <c r="I32" s="4611"/>
    </row>
    <row r="33" spans="1:9">
      <c r="B33" s="1891"/>
      <c r="C33" s="1891"/>
      <c r="D33" s="1891"/>
      <c r="E33" s="1891"/>
      <c r="F33" s="1891"/>
      <c r="G33" s="1891"/>
      <c r="H33" s="1891"/>
    </row>
    <row r="34" spans="1:9" ht="15">
      <c r="A34" s="4611">
        <f>'ANEXA 1'!B101</f>
        <v>0</v>
      </c>
      <c r="B34" s="4611"/>
      <c r="C34" s="4611"/>
      <c r="D34" s="4611"/>
      <c r="E34" s="1893"/>
      <c r="F34" s="4611">
        <f>'ANEXA 1'!D101</f>
        <v>0</v>
      </c>
      <c r="G34" s="4611"/>
      <c r="H34" s="4611"/>
      <c r="I34" s="4611"/>
    </row>
    <row r="35" spans="1:9">
      <c r="A35" s="1892"/>
      <c r="B35" s="1892"/>
      <c r="C35" s="1892"/>
      <c r="D35" s="1892"/>
      <c r="E35" s="1892"/>
      <c r="F35" s="1892"/>
      <c r="G35" s="1892"/>
      <c r="H35" s="1892"/>
      <c r="I35" s="1892"/>
    </row>
  </sheetData>
  <sheetProtection password="CFDD" sheet="1" objects="1" scenarios="1"/>
  <mergeCells count="30">
    <mergeCell ref="A19:I19"/>
    <mergeCell ref="B16:H16"/>
    <mergeCell ref="A32:D32"/>
    <mergeCell ref="B24:H24"/>
    <mergeCell ref="B23:H23"/>
    <mergeCell ref="A26:D26"/>
    <mergeCell ref="F26:I26"/>
    <mergeCell ref="A28:D28"/>
    <mergeCell ref="F28:I28"/>
    <mergeCell ref="A29:D29"/>
    <mergeCell ref="B17:H17"/>
    <mergeCell ref="B20:H20"/>
    <mergeCell ref="B21:H21"/>
    <mergeCell ref="B22:H22"/>
    <mergeCell ref="A34:D34"/>
    <mergeCell ref="F34:I34"/>
    <mergeCell ref="B15:H15"/>
    <mergeCell ref="A3:I3"/>
    <mergeCell ref="A4:I4"/>
    <mergeCell ref="A6:A7"/>
    <mergeCell ref="B6:H7"/>
    <mergeCell ref="I6:I7"/>
    <mergeCell ref="B8:H8"/>
    <mergeCell ref="A5:I5"/>
    <mergeCell ref="B10:H10"/>
    <mergeCell ref="B9:H9"/>
    <mergeCell ref="B13:H13"/>
    <mergeCell ref="B14:H14"/>
    <mergeCell ref="F32:I32"/>
    <mergeCell ref="A12:I12"/>
  </mergeCells>
  <dataValidations count="1">
    <dataValidation type="whole" allowBlank="1" showInputMessage="1" showErrorMessage="1" sqref="I8:I11 I13:I18 I20:I24">
      <formula1>-9.99999999999999E+24</formula1>
      <formula2>9.99999999999999E+27</formula2>
    </dataValidation>
  </dataValidations>
  <pageMargins left="0.7" right="0.7" top="0.75" bottom="0.75" header="0.3" footer="0.3"/>
  <pageSetup paperSize="9" orientation="portrait" r:id="rId1"/>
  <legacy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5">
    <tabColor indexed="45"/>
  </sheetPr>
  <dimension ref="A1:I72"/>
  <sheetViews>
    <sheetView showZeros="0" topLeftCell="A46" zoomScaleNormal="100" workbookViewId="0">
      <selection activeCell="C60" sqref="C60:E60"/>
    </sheetView>
  </sheetViews>
  <sheetFormatPr defaultColWidth="9.140625" defaultRowHeight="12.75"/>
  <cols>
    <col min="1" max="1" width="75.42578125" style="2734" customWidth="1"/>
    <col min="2" max="2" width="21" style="2734" customWidth="1"/>
    <col min="3" max="3" width="19.28515625" style="2735" customWidth="1"/>
    <col min="4" max="4" width="21.140625" style="2734" customWidth="1"/>
    <col min="5" max="5" width="18.140625" style="2734" customWidth="1"/>
    <col min="6" max="6" width="11" style="2734" bestFit="1" customWidth="1"/>
    <col min="7" max="7" width="16" style="2734" bestFit="1" customWidth="1"/>
    <col min="8" max="16384" width="9.140625" style="2734"/>
  </cols>
  <sheetData>
    <row r="1" spans="1:9" ht="15.75">
      <c r="A1" s="2733" t="str">
        <f>+'CONT 473'!A1</f>
        <v>CASA  DE  ASIGURĂRI  DE  SĂNĂTATE MEHEDINTI</v>
      </c>
    </row>
    <row r="2" spans="1:9">
      <c r="A2" s="2736"/>
    </row>
    <row r="3" spans="1:9">
      <c r="A3" s="2736"/>
    </row>
    <row r="4" spans="1:9">
      <c r="A4" s="2736"/>
    </row>
    <row r="5" spans="1:9" ht="38.25" customHeight="1">
      <c r="A5" s="4638" t="s">
        <v>1634</v>
      </c>
      <c r="B5" s="4638"/>
      <c r="C5" s="4638"/>
      <c r="D5" s="4638"/>
      <c r="E5" s="4638"/>
    </row>
    <row r="6" spans="1:9" ht="15">
      <c r="A6" s="2737"/>
      <c r="B6" s="2737"/>
      <c r="C6" s="2738"/>
      <c r="D6" s="2737"/>
      <c r="E6" s="2737"/>
    </row>
    <row r="7" spans="1:9" ht="15">
      <c r="A7" s="2737"/>
      <c r="B7" s="2737"/>
      <c r="C7" s="2739"/>
      <c r="D7" s="2737"/>
      <c r="E7" s="2740" t="s">
        <v>1632</v>
      </c>
    </row>
    <row r="8" spans="1:9" ht="38.25">
      <c r="A8" s="2741" t="s">
        <v>1633</v>
      </c>
      <c r="B8" s="2742" t="s">
        <v>2560</v>
      </c>
      <c r="C8" s="2742" t="s">
        <v>2625</v>
      </c>
      <c r="D8" s="2742" t="s">
        <v>2623</v>
      </c>
      <c r="E8" s="2742" t="s">
        <v>2626</v>
      </c>
    </row>
    <row r="9" spans="1:9">
      <c r="A9" s="2743">
        <v>0</v>
      </c>
      <c r="B9" s="2744">
        <v>1</v>
      </c>
      <c r="C9" s="2745">
        <v>2</v>
      </c>
      <c r="D9" s="2744">
        <v>3</v>
      </c>
      <c r="E9" s="2744">
        <v>4</v>
      </c>
    </row>
    <row r="10" spans="1:9" ht="15" customHeight="1">
      <c r="A10" s="2746" t="s">
        <v>2486</v>
      </c>
      <c r="B10" s="2747">
        <f t="shared" ref="B10:E10" si="0">+B11+B25+B40+B43+B32+B36+B48+B54+B19+B22+B23+B24+B47</f>
        <v>7551350</v>
      </c>
      <c r="C10" s="2747">
        <f t="shared" si="0"/>
        <v>3954350</v>
      </c>
      <c r="D10" s="2747">
        <f t="shared" si="0"/>
        <v>3738320</v>
      </c>
      <c r="E10" s="2747">
        <f t="shared" si="0"/>
        <v>3727391</v>
      </c>
      <c r="G10" s="2748"/>
      <c r="H10" s="2749"/>
    </row>
    <row r="11" spans="1:9" ht="15" customHeight="1">
      <c r="A11" s="2750" t="s">
        <v>1635</v>
      </c>
      <c r="B11" s="2751">
        <f t="shared" ref="B11:E11" si="1">+B14+B15+B17+B13+B12+B16+B18</f>
        <v>930000</v>
      </c>
      <c r="C11" s="2751">
        <f t="shared" si="1"/>
        <v>520000</v>
      </c>
      <c r="D11" s="2751">
        <f t="shared" si="1"/>
        <v>496970</v>
      </c>
      <c r="E11" s="2751">
        <f t="shared" si="1"/>
        <v>495749</v>
      </c>
      <c r="I11" s="2748"/>
    </row>
    <row r="12" spans="1:9" ht="25.5">
      <c r="A12" s="2752" t="s">
        <v>2451</v>
      </c>
      <c r="B12" s="2751">
        <f>+'CONT EXECUTIE  '!E140</f>
        <v>0</v>
      </c>
      <c r="C12" s="2751">
        <f>+'CONT EXECUTIE  '!F140</f>
        <v>0</v>
      </c>
      <c r="D12" s="2753"/>
      <c r="E12" s="2751">
        <f>+PLATI!C117</f>
        <v>0</v>
      </c>
    </row>
    <row r="13" spans="1:9" ht="51.75" customHeight="1">
      <c r="A13" s="2752" t="s">
        <v>2452</v>
      </c>
      <c r="B13" s="2751">
        <f>+'CONT EXECUTIE  '!E141</f>
        <v>0</v>
      </c>
      <c r="C13" s="2751">
        <f>+'CONT EXECUTIE  '!F141</f>
        <v>0</v>
      </c>
      <c r="D13" s="2753"/>
      <c r="E13" s="2751">
        <f>+PLATI!C118</f>
        <v>0</v>
      </c>
    </row>
    <row r="14" spans="1:9" ht="38.25">
      <c r="A14" s="2752" t="s">
        <v>2203</v>
      </c>
      <c r="B14" s="2753">
        <f>+'CONT EXECUTIE  '!E142</f>
        <v>760000</v>
      </c>
      <c r="C14" s="2753">
        <f>+'CONT EXECUTIE  '!F142</f>
        <v>418000</v>
      </c>
      <c r="D14" s="2753">
        <v>400660</v>
      </c>
      <c r="E14" s="2753">
        <f>+PLATI!C119</f>
        <v>400022</v>
      </c>
    </row>
    <row r="15" spans="1:9" ht="15" customHeight="1">
      <c r="A15" s="2752" t="s">
        <v>2204</v>
      </c>
      <c r="B15" s="2753">
        <f>+'CONT EXECUTIE  '!E143</f>
        <v>7000</v>
      </c>
      <c r="C15" s="2753">
        <f>+'CONT EXECUTIE  '!F143</f>
        <v>4000</v>
      </c>
      <c r="D15" s="2754">
        <v>4000</v>
      </c>
      <c r="E15" s="2753">
        <f>+PLATI!C120</f>
        <v>3417</v>
      </c>
    </row>
    <row r="16" spans="1:9" ht="51" customHeight="1">
      <c r="A16" s="2752" t="s">
        <v>2487</v>
      </c>
      <c r="B16" s="2751">
        <f>+'CONT EXECUTIE  '!E146</f>
        <v>0</v>
      </c>
      <c r="C16" s="2751">
        <f>+'CONT EXECUTIE  '!F146</f>
        <v>0</v>
      </c>
      <c r="D16" s="2754"/>
      <c r="E16" s="2751">
        <f>+PLATI!C123</f>
        <v>0</v>
      </c>
    </row>
    <row r="17" spans="1:7" ht="42" customHeight="1">
      <c r="A17" s="2752" t="s">
        <v>2205</v>
      </c>
      <c r="B17" s="2754">
        <f>+'CONT EXECUTIE  '!E152</f>
        <v>163000</v>
      </c>
      <c r="C17" s="2754">
        <f>+'CONT EXECUTIE  '!F152</f>
        <v>98000</v>
      </c>
      <c r="D17" s="2754">
        <v>92310</v>
      </c>
      <c r="E17" s="2754">
        <f>+PLATI!C129</f>
        <v>92310</v>
      </c>
    </row>
    <row r="18" spans="1:7" ht="54" customHeight="1">
      <c r="A18" s="2752" t="s">
        <v>2495</v>
      </c>
      <c r="B18" s="2755">
        <f>+'CONT EXECUTIE  '!E150</f>
        <v>0</v>
      </c>
      <c r="C18" s="2755">
        <f>+'CONT EXECUTIE  '!F150</f>
        <v>0</v>
      </c>
      <c r="D18" s="2754"/>
      <c r="E18" s="2755">
        <f>+PLATI!C127</f>
        <v>0</v>
      </c>
    </row>
    <row r="19" spans="1:7" ht="25.5">
      <c r="A19" s="2750" t="s">
        <v>2251</v>
      </c>
      <c r="B19" s="2755">
        <f t="shared" ref="B19:E19" si="2">+B20+B21</f>
        <v>0</v>
      </c>
      <c r="C19" s="2755">
        <f t="shared" si="2"/>
        <v>0</v>
      </c>
      <c r="D19" s="2755">
        <f t="shared" si="2"/>
        <v>0</v>
      </c>
      <c r="E19" s="2755">
        <f t="shared" si="2"/>
        <v>0</v>
      </c>
      <c r="G19" s="2749"/>
    </row>
    <row r="20" spans="1:7" ht="51">
      <c r="A20" s="2752" t="s">
        <v>2488</v>
      </c>
      <c r="B20" s="2755">
        <f>+'CONT EXECUTIE  '!E157+'CONT EXECUTIE  '!E160+'CONT EXECUTIE  '!E163+'CONT EXECUTIE  '!E166+'CONT EXECUTIE  '!E169+'CONT EXECUTIE  '!E172+'CONT EXECUTIE  '!E176+'CONT EXECUTIE  '!E179</f>
        <v>0</v>
      </c>
      <c r="C20" s="2755">
        <f>+'CONT EXECUTIE  '!F157+'CONT EXECUTIE  '!F160+'CONT EXECUTIE  '!F163+'CONT EXECUTIE  '!F166+'CONT EXECUTIE  '!F169+'CONT EXECUTIE  '!F176+'CONT EXECUTIE  '!F179</f>
        <v>0</v>
      </c>
      <c r="D20" s="2754"/>
      <c r="E20" s="2755">
        <f>+PLATI!C134+PLATI!C137+PLATI!C143+PLATI!C146+PLATI!C149+PLATI!C153+PLATI!C156</f>
        <v>0</v>
      </c>
    </row>
    <row r="21" spans="1:7" ht="51">
      <c r="A21" s="2752" t="s">
        <v>2489</v>
      </c>
      <c r="B21" s="2755">
        <f>+'CONT EXECUTIE  '!E183+'CONT EXECUTIE  '!E189</f>
        <v>0</v>
      </c>
      <c r="C21" s="2755">
        <f>+'CONT EXECUTIE  '!F183+'CONT EXECUTIE  '!F189</f>
        <v>0</v>
      </c>
      <c r="D21" s="2754"/>
      <c r="E21" s="2755">
        <f>+PLATI!C160+PLATI!E166</f>
        <v>0</v>
      </c>
    </row>
    <row r="22" spans="1:7" ht="63.75">
      <c r="A22" s="2750" t="s">
        <v>2490</v>
      </c>
      <c r="B22" s="2755">
        <f>+'CONT EXECUTIE  '!E194+'CONT EXECUTIE  '!E197+'CONT EXECUTIE  '!E200+'CONT EXECUTIE  '!E208+'CONT EXECUTIE  '!E214+'CONT EXECUTIE  '!E218</f>
        <v>0</v>
      </c>
      <c r="C22" s="2755">
        <f>+'CONT EXECUTIE  '!F194+'CONT EXECUTIE  '!F197+'CONT EXECUTIE  '!F200+'CONT EXECUTIE  '!F208+'CONT EXECUTIE  '!F214+'CONT EXECUTIE  '!F218</f>
        <v>0</v>
      </c>
      <c r="D22" s="2754"/>
      <c r="E22" s="2755">
        <f>+PLATI!C171+PLATI!C174+PLATI!C177+PLATI!C185+PLATI!C191+PLATI!C195</f>
        <v>0</v>
      </c>
    </row>
    <row r="23" spans="1:7" ht="51" customHeight="1">
      <c r="A23" s="2750" t="s">
        <v>2491</v>
      </c>
      <c r="B23" s="2755">
        <f>+'CONT EXECUTIE  '!E222</f>
        <v>0</v>
      </c>
      <c r="C23" s="2755">
        <f>+'CONT EXECUTIE  '!F222</f>
        <v>0</v>
      </c>
      <c r="D23" s="2754"/>
      <c r="E23" s="2755">
        <f>+PLATI!C199</f>
        <v>0</v>
      </c>
    </row>
    <row r="24" spans="1:7" ht="51" customHeight="1">
      <c r="A24" s="2750" t="s">
        <v>2492</v>
      </c>
      <c r="B24" s="2755">
        <f>+'CONT EXECUTIE  '!E225</f>
        <v>0</v>
      </c>
      <c r="C24" s="2755">
        <f>+'CONT EXECUTIE  '!F225</f>
        <v>0</v>
      </c>
      <c r="D24" s="2754"/>
      <c r="E24" s="2755">
        <f>+PLATI!C202</f>
        <v>0</v>
      </c>
    </row>
    <row r="25" spans="1:7" ht="15" customHeight="1">
      <c r="A25" s="2750" t="s">
        <v>1636</v>
      </c>
      <c r="B25" s="2751">
        <f>+B26+B27+B28+B29+B30+B31</f>
        <v>3228000</v>
      </c>
      <c r="C25" s="2751">
        <f t="shared" ref="C25:E25" si="3">+C26+C27+C28+C29+C30+C31</f>
        <v>1563000</v>
      </c>
      <c r="D25" s="2751">
        <f t="shared" si="3"/>
        <v>1370000</v>
      </c>
      <c r="E25" s="2751">
        <f t="shared" si="3"/>
        <v>1367879</v>
      </c>
    </row>
    <row r="26" spans="1:7" ht="15" customHeight="1">
      <c r="A26" s="2752" t="s">
        <v>1637</v>
      </c>
      <c r="B26" s="2754">
        <f>+'CONT EXECUTIE  '!E229</f>
        <v>2735000</v>
      </c>
      <c r="C26" s="2754">
        <f>+'CONT EXECUTIE  '!F229</f>
        <v>1188000</v>
      </c>
      <c r="D26" s="2754">
        <v>1148000</v>
      </c>
      <c r="E26" s="2754">
        <f>+PLATI!C206</f>
        <v>1147279</v>
      </c>
    </row>
    <row r="27" spans="1:7" ht="27.75" customHeight="1">
      <c r="A27" s="2752" t="s">
        <v>2293</v>
      </c>
      <c r="B27" s="2754">
        <f>+'CONT EXECUTIE  '!E230</f>
        <v>135000</v>
      </c>
      <c r="C27" s="2754">
        <f>+'CONT EXECUTIE  '!F230</f>
        <v>135000</v>
      </c>
      <c r="D27" s="2754">
        <v>14000</v>
      </c>
      <c r="E27" s="2754">
        <f>+PLATI!C207</f>
        <v>12600</v>
      </c>
    </row>
    <row r="28" spans="1:7" ht="27.75" customHeight="1">
      <c r="A28" s="2752" t="s">
        <v>2297</v>
      </c>
      <c r="B28" s="2754">
        <f>+'CONT EXECUTIE  '!E231</f>
        <v>0</v>
      </c>
      <c r="C28" s="2754">
        <f>+'CONT EXECUTIE  '!F231</f>
        <v>0</v>
      </c>
      <c r="D28" s="2754"/>
      <c r="E28" s="2754">
        <f>+PLATI!C208</f>
        <v>0</v>
      </c>
    </row>
    <row r="29" spans="1:7" ht="27.75" customHeight="1">
      <c r="A29" s="2752" t="s">
        <v>2418</v>
      </c>
      <c r="B29" s="2754">
        <f>+'CONT EXECUTIE  '!E232</f>
        <v>319000</v>
      </c>
      <c r="C29" s="2754">
        <f>+'CONT EXECUTIE  '!F232</f>
        <v>231000</v>
      </c>
      <c r="D29" s="2754">
        <v>199000</v>
      </c>
      <c r="E29" s="2754">
        <f>+PLATI!C209</f>
        <v>199000</v>
      </c>
    </row>
    <row r="30" spans="1:7" ht="38.25">
      <c r="A30" s="2752" t="s">
        <v>2584</v>
      </c>
      <c r="B30" s="2755">
        <f>+'CONT EXECUTIE  '!E233</f>
        <v>0</v>
      </c>
      <c r="C30" s="2755">
        <f>+'CONT EXECUTIE  '!F233</f>
        <v>0</v>
      </c>
      <c r="D30" s="2754"/>
      <c r="E30" s="2755">
        <f>+PLATI!C210</f>
        <v>0</v>
      </c>
    </row>
    <row r="31" spans="1:7" ht="36">
      <c r="A31" s="3232" t="s">
        <v>2569</v>
      </c>
      <c r="B31" s="3230">
        <f>+'CONT EXECUTIE  '!E234</f>
        <v>39000</v>
      </c>
      <c r="C31" s="3230">
        <f>+'CONT EXECUTIE  '!F234</f>
        <v>9000</v>
      </c>
      <c r="D31" s="3231">
        <v>9000</v>
      </c>
      <c r="E31" s="3230">
        <f>+PLATI!C211</f>
        <v>9000</v>
      </c>
    </row>
    <row r="32" spans="1:7" s="2757" customFormat="1" ht="18" customHeight="1">
      <c r="A32" s="2756" t="s">
        <v>2298</v>
      </c>
      <c r="B32" s="2751">
        <f t="shared" ref="B32:E32" si="4">+B33+B34+B35</f>
        <v>0</v>
      </c>
      <c r="C32" s="2751">
        <f t="shared" si="4"/>
        <v>0</v>
      </c>
      <c r="D32" s="2751">
        <f t="shared" si="4"/>
        <v>0</v>
      </c>
      <c r="E32" s="2751">
        <f t="shared" si="4"/>
        <v>0</v>
      </c>
    </row>
    <row r="33" spans="1:5" ht="27.75" customHeight="1">
      <c r="A33" s="2758" t="s">
        <v>2294</v>
      </c>
      <c r="B33" s="2754">
        <f>+'CONT EXECUTIE  '!E237</f>
        <v>0</v>
      </c>
      <c r="C33" s="2754">
        <f>+'CONT EXECUTIE  '!F237</f>
        <v>0</v>
      </c>
      <c r="D33" s="2754"/>
      <c r="E33" s="2754">
        <f>+PLATI!C214</f>
        <v>0</v>
      </c>
    </row>
    <row r="34" spans="1:5" ht="51">
      <c r="A34" s="2758" t="s">
        <v>2328</v>
      </c>
      <c r="B34" s="2754">
        <f>+'CONT EXECUTIE  '!E238</f>
        <v>0</v>
      </c>
      <c r="C34" s="2754">
        <f>+'CONT EXECUTIE  '!F238</f>
        <v>0</v>
      </c>
      <c r="D34" s="2754"/>
      <c r="E34" s="2754">
        <f>+PLATI!C215</f>
        <v>0</v>
      </c>
    </row>
    <row r="35" spans="1:5" ht="51">
      <c r="A35" s="2758" t="s">
        <v>2457</v>
      </c>
      <c r="B35" s="2755">
        <f>+'CONT EXECUTIE  '!E239</f>
        <v>0</v>
      </c>
      <c r="C35" s="2755">
        <f>+'CONT EXECUTIE  '!F239</f>
        <v>0</v>
      </c>
      <c r="D35" s="2754"/>
      <c r="E35" s="2755">
        <f>+PLATI!C216</f>
        <v>0</v>
      </c>
    </row>
    <row r="36" spans="1:5" s="2757" customFormat="1" ht="15.75" customHeight="1">
      <c r="A36" s="2759" t="s">
        <v>2300</v>
      </c>
      <c r="B36" s="2751">
        <f t="shared" ref="B36:E36" si="5">+B37+B38+B39</f>
        <v>0</v>
      </c>
      <c r="C36" s="2751">
        <f t="shared" si="5"/>
        <v>0</v>
      </c>
      <c r="D36" s="2751">
        <f t="shared" si="5"/>
        <v>0</v>
      </c>
      <c r="E36" s="2751">
        <f t="shared" si="5"/>
        <v>0</v>
      </c>
    </row>
    <row r="37" spans="1:5" ht="27.75" customHeight="1">
      <c r="A37" s="2758" t="s">
        <v>2294</v>
      </c>
      <c r="B37" s="2754">
        <f>+'CONT EXECUTIE  '!E257</f>
        <v>0</v>
      </c>
      <c r="C37" s="2754">
        <f>+'CONT EXECUTIE  '!F257</f>
        <v>0</v>
      </c>
      <c r="D37" s="2754"/>
      <c r="E37" s="2754">
        <f>+PLATI!C234</f>
        <v>0</v>
      </c>
    </row>
    <row r="38" spans="1:5" ht="51">
      <c r="A38" s="2758" t="s">
        <v>2457</v>
      </c>
      <c r="B38" s="2755">
        <f>+'CONT EXECUTIE  '!E247</f>
        <v>0</v>
      </c>
      <c r="C38" s="2755">
        <f>+'CONT EXECUTIE  '!F247</f>
        <v>0</v>
      </c>
      <c r="D38" s="2754"/>
      <c r="E38" s="2755">
        <f>+PLATI!C224</f>
        <v>0</v>
      </c>
    </row>
    <row r="39" spans="1:5" ht="51">
      <c r="A39" s="2758" t="s">
        <v>2494</v>
      </c>
      <c r="B39" s="2755">
        <f>+'CONT EXECUTIE  '!E252+'CONT EXECUTIE  '!E255</f>
        <v>0</v>
      </c>
      <c r="C39" s="2755">
        <f>+'CONT EXECUTIE  '!F252+'CONT EXECUTIE  '!F255</f>
        <v>0</v>
      </c>
      <c r="D39" s="2754"/>
      <c r="E39" s="2755">
        <f>+PLATI!C229+PLATI!C232</f>
        <v>0</v>
      </c>
    </row>
    <row r="40" spans="1:5" ht="15" customHeight="1">
      <c r="A40" s="2760" t="s">
        <v>1638</v>
      </c>
      <c r="B40" s="2751">
        <f t="shared" ref="B40:E40" si="6">+B41+B42</f>
        <v>0</v>
      </c>
      <c r="C40" s="2751">
        <f t="shared" si="6"/>
        <v>0</v>
      </c>
      <c r="D40" s="2751">
        <f t="shared" si="6"/>
        <v>0</v>
      </c>
      <c r="E40" s="2751">
        <f t="shared" si="6"/>
        <v>0</v>
      </c>
    </row>
    <row r="41" spans="1:5" ht="12.75" customHeight="1">
      <c r="A41" s="2752" t="s">
        <v>1540</v>
      </c>
      <c r="B41" s="2761">
        <f>+'CONT EXECUTIE  '!E243</f>
        <v>0</v>
      </c>
      <c r="C41" s="2761">
        <f>+'CONT EXECUTIE  '!F243</f>
        <v>0</v>
      </c>
      <c r="D41" s="2754"/>
      <c r="E41" s="2754">
        <f>+PLATI!C220</f>
        <v>0</v>
      </c>
    </row>
    <row r="42" spans="1:5" ht="51">
      <c r="A42" s="2758" t="s">
        <v>2457</v>
      </c>
      <c r="B42" s="2762">
        <f>+'CONT EXECUTIE  '!E244</f>
        <v>0</v>
      </c>
      <c r="C42" s="2762">
        <f>+'CONT EXECUTIE  '!F244</f>
        <v>0</v>
      </c>
      <c r="D42" s="2754"/>
      <c r="E42" s="2755">
        <f>+PLATI!C221</f>
        <v>0</v>
      </c>
    </row>
    <row r="43" spans="1:5" ht="15" customHeight="1">
      <c r="A43" s="2760" t="s">
        <v>2121</v>
      </c>
      <c r="B43" s="2751">
        <f t="shared" ref="B43:E43" si="7">+B44+B45+B46</f>
        <v>0</v>
      </c>
      <c r="C43" s="2751">
        <f t="shared" si="7"/>
        <v>0</v>
      </c>
      <c r="D43" s="2751">
        <f t="shared" si="7"/>
        <v>0</v>
      </c>
      <c r="E43" s="2751">
        <f t="shared" si="7"/>
        <v>0</v>
      </c>
    </row>
    <row r="44" spans="1:5" ht="15" customHeight="1">
      <c r="A44" s="2752" t="s">
        <v>1540</v>
      </c>
      <c r="B44" s="2781">
        <f>+'CONT EXECUTIE  '!E261</f>
        <v>0</v>
      </c>
      <c r="C44" s="2781">
        <f>+'CONT EXECUTIE  '!F261</f>
        <v>0</v>
      </c>
      <c r="D44" s="2763"/>
      <c r="E44" s="2764">
        <f>+PLATI!C238</f>
        <v>0</v>
      </c>
    </row>
    <row r="45" spans="1:5" ht="27.75" customHeight="1">
      <c r="A45" s="2758" t="s">
        <v>2294</v>
      </c>
      <c r="B45" s="2764">
        <f>+'CONT EXECUTIE  '!E262</f>
        <v>0</v>
      </c>
      <c r="C45" s="2764">
        <f>+'CONT EXECUTIE  '!F262</f>
        <v>0</v>
      </c>
      <c r="D45" s="2763"/>
      <c r="E45" s="2764">
        <f>+PLATI!C239</f>
        <v>0</v>
      </c>
    </row>
    <row r="46" spans="1:5" ht="51">
      <c r="A46" s="2758" t="s">
        <v>2457</v>
      </c>
      <c r="B46" s="2764">
        <f>+'CONT EXECUTIE  '!E263</f>
        <v>0</v>
      </c>
      <c r="C46" s="2764">
        <f>+'CONT EXECUTIE  '!F263</f>
        <v>0</v>
      </c>
      <c r="D46" s="2763"/>
      <c r="E46" s="2764">
        <f>+PLATI!C240</f>
        <v>0</v>
      </c>
    </row>
    <row r="47" spans="1:5" ht="63.75">
      <c r="A47" s="2765" t="s">
        <v>2493</v>
      </c>
      <c r="B47" s="2764">
        <f>+'CONT EXECUTIE  '!E266</f>
        <v>0</v>
      </c>
      <c r="C47" s="2764">
        <f>+'CONT EXECUTIE  '!F266</f>
        <v>0</v>
      </c>
      <c r="D47" s="2763"/>
      <c r="E47" s="2764">
        <f>+PLATI!C243</f>
        <v>0</v>
      </c>
    </row>
    <row r="48" spans="1:5" s="2757" customFormat="1" ht="15.75" customHeight="1">
      <c r="A48" s="2765" t="s">
        <v>2299</v>
      </c>
      <c r="B48" s="2766">
        <f t="shared" ref="B48:E48" si="8">+B49+B50+B51+B52+B53</f>
        <v>3393350</v>
      </c>
      <c r="C48" s="2766">
        <f t="shared" si="8"/>
        <v>1871350</v>
      </c>
      <c r="D48" s="2766">
        <f t="shared" si="8"/>
        <v>1871350</v>
      </c>
      <c r="E48" s="2766">
        <f t="shared" si="8"/>
        <v>1863763</v>
      </c>
    </row>
    <row r="49" spans="1:5" ht="27.75" customHeight="1">
      <c r="A49" s="2758" t="s">
        <v>2294</v>
      </c>
      <c r="B49" s="2764">
        <f>+'CONT EXECUTIE  '!E270</f>
        <v>0</v>
      </c>
      <c r="C49" s="2764">
        <f>+'CONT EXECUTIE  '!F270</f>
        <v>0</v>
      </c>
      <c r="D49" s="2763"/>
      <c r="E49" s="2764">
        <f>+PLATI!C247</f>
        <v>0</v>
      </c>
    </row>
    <row r="50" spans="1:5" ht="27.75" customHeight="1">
      <c r="A50" s="2758" t="s">
        <v>2455</v>
      </c>
      <c r="B50" s="2764">
        <f>+'CONT EXECUTIE  '!E272</f>
        <v>0</v>
      </c>
      <c r="C50" s="2764">
        <f>+'CONT EXECUTIE  '!F272</f>
        <v>0</v>
      </c>
      <c r="D50" s="2763"/>
      <c r="E50" s="2764">
        <f>+PLATI!C249</f>
        <v>0</v>
      </c>
    </row>
    <row r="51" spans="1:5">
      <c r="A51" s="2758" t="s">
        <v>2484</v>
      </c>
      <c r="B51" s="2764">
        <f>+'CONT EXECUTIE  '!E273</f>
        <v>3393350</v>
      </c>
      <c r="C51" s="2764">
        <f>+'CONT EXECUTIE  '!F273</f>
        <v>1871350</v>
      </c>
      <c r="D51" s="2763">
        <v>1871350</v>
      </c>
      <c r="E51" s="2764">
        <f>+PLATI!C250</f>
        <v>1863763</v>
      </c>
    </row>
    <row r="52" spans="1:5" ht="51">
      <c r="A52" s="2758" t="s">
        <v>2457</v>
      </c>
      <c r="B52" s="2764">
        <f>+'CONT EXECUTIE  '!E271</f>
        <v>0</v>
      </c>
      <c r="C52" s="2764">
        <f>+'CONT EXECUTIE  '!F271</f>
        <v>0</v>
      </c>
      <c r="D52" s="2763"/>
      <c r="E52" s="2764">
        <f>+PLATI!C248</f>
        <v>0</v>
      </c>
    </row>
    <row r="53" spans="1:5" ht="51">
      <c r="A53" s="2758" t="s">
        <v>2494</v>
      </c>
      <c r="B53" s="2764">
        <f>+'CONT EXECUTIE  '!E277+'CONT EXECUTIE  '!E280+'CONT EXECUTIE  '!E283</f>
        <v>0</v>
      </c>
      <c r="C53" s="2764">
        <f>+'CONT EXECUTIE  '!F277+'CONT EXECUTIE  '!F280+'CONT EXECUTIE  '!F283</f>
        <v>0</v>
      </c>
      <c r="D53" s="2763"/>
      <c r="E53" s="2764">
        <f>+PLATI!C254+PLATI!C260</f>
        <v>0</v>
      </c>
    </row>
    <row r="54" spans="1:5" s="2757" customFormat="1" ht="15.75" customHeight="1">
      <c r="A54" s="2750" t="s">
        <v>1639</v>
      </c>
      <c r="B54" s="2766">
        <f t="shared" ref="B54:E54" si="9">+B55+B56+B57</f>
        <v>0</v>
      </c>
      <c r="C54" s="2766">
        <f t="shared" si="9"/>
        <v>0</v>
      </c>
      <c r="D54" s="2766">
        <f t="shared" si="9"/>
        <v>0</v>
      </c>
      <c r="E54" s="2766">
        <f t="shared" si="9"/>
        <v>0</v>
      </c>
    </row>
    <row r="55" spans="1:5" ht="15" customHeight="1">
      <c r="A55" s="2752" t="s">
        <v>1540</v>
      </c>
      <c r="B55" s="2763">
        <f>+'CONT EXECUTIE  '!E287</f>
        <v>0</v>
      </c>
      <c r="C55" s="2763">
        <f>+'CONT EXECUTIE  '!F287</f>
        <v>0</v>
      </c>
      <c r="D55" s="2763"/>
      <c r="E55" s="2763">
        <f>+PLATI!C264</f>
        <v>0</v>
      </c>
    </row>
    <row r="56" spans="1:5">
      <c r="A56" s="2752" t="s">
        <v>2485</v>
      </c>
      <c r="B56" s="2763">
        <f>+'CONT EXECUTIE  '!E288</f>
        <v>0</v>
      </c>
      <c r="C56" s="2763">
        <f>+'CONT EXECUTIE  '!F288</f>
        <v>0</v>
      </c>
      <c r="D56" s="2763"/>
      <c r="E56" s="2763">
        <f>+PLATI!C265</f>
        <v>0</v>
      </c>
    </row>
    <row r="57" spans="1:5" ht="51">
      <c r="A57" s="2752" t="s">
        <v>2457</v>
      </c>
      <c r="B57" s="2763">
        <f>+'CONT EXECUTIE  '!E289</f>
        <v>0</v>
      </c>
      <c r="C57" s="2763">
        <f>+'CONT EXECUTIE  '!F289</f>
        <v>0</v>
      </c>
      <c r="D57" s="2763"/>
      <c r="E57" s="2763">
        <f>+PLATI!C266</f>
        <v>0</v>
      </c>
    </row>
    <row r="58" spans="1:5">
      <c r="A58" s="2767"/>
      <c r="B58" s="2768"/>
      <c r="C58" s="2768"/>
      <c r="D58" s="2769"/>
      <c r="E58" s="2768"/>
    </row>
    <row r="60" spans="1:5" ht="15.75" customHeight="1">
      <c r="A60" s="2770" t="str">
        <f>+'ANEXA 1'!B94</f>
        <v>DIRECTOR  GENERAL,</v>
      </c>
      <c r="C60" s="4639" t="s">
        <v>2099</v>
      </c>
      <c r="D60" s="4639"/>
      <c r="E60" s="4639"/>
    </row>
    <row r="61" spans="1:5" ht="15.75" customHeight="1">
      <c r="A61" s="2771"/>
      <c r="D61" s="4635"/>
      <c r="E61" s="4635"/>
    </row>
    <row r="62" spans="1:5" ht="20.25" customHeight="1">
      <c r="A62" s="2772" t="str">
        <f>'ANEXA 1'!B96</f>
        <v>EC.ALBU DRINA</v>
      </c>
      <c r="C62" s="4641" t="str">
        <f>'ANEXA 1'!D96</f>
        <v>EC.BIRCU FLORINA</v>
      </c>
      <c r="D62" s="4641"/>
      <c r="E62" s="4641"/>
    </row>
    <row r="63" spans="1:5" ht="16.5" customHeight="1">
      <c r="A63" s="2773">
        <f>'ANEXA 1'!B97</f>
        <v>0</v>
      </c>
      <c r="B63" s="4634"/>
      <c r="C63" s="4634"/>
      <c r="D63" s="4635"/>
      <c r="E63" s="4635"/>
    </row>
    <row r="64" spans="1:5" ht="15.75">
      <c r="A64" s="2771"/>
      <c r="B64" s="2774"/>
      <c r="C64" s="2775"/>
    </row>
    <row r="65" spans="2:5" ht="15" customHeight="1">
      <c r="B65" s="4636"/>
      <c r="C65" s="4636"/>
    </row>
    <row r="66" spans="2:5">
      <c r="B66" s="2776"/>
      <c r="C66" s="2777"/>
    </row>
    <row r="67" spans="2:5" ht="15" customHeight="1">
      <c r="B67" s="4634"/>
      <c r="C67" s="4634"/>
      <c r="D67" s="4637"/>
      <c r="E67" s="4637"/>
    </row>
    <row r="68" spans="2:5">
      <c r="D68" s="2778"/>
      <c r="E68" s="2779"/>
    </row>
    <row r="69" spans="2:5" ht="12.75" customHeight="1">
      <c r="D69" s="4640"/>
      <c r="E69" s="4640"/>
    </row>
    <row r="70" spans="2:5" ht="12.75" customHeight="1">
      <c r="C70" s="4637"/>
      <c r="D70" s="4637"/>
    </row>
    <row r="71" spans="2:5">
      <c r="C71" s="2780"/>
    </row>
    <row r="72" spans="2:5" ht="12.75" customHeight="1">
      <c r="C72" s="4633"/>
      <c r="D72" s="4633"/>
    </row>
  </sheetData>
  <sheetProtection password="CE96" sheet="1" objects="1" scenarios="1"/>
  <mergeCells count="12">
    <mergeCell ref="A5:E5"/>
    <mergeCell ref="C60:E60"/>
    <mergeCell ref="D61:E61"/>
    <mergeCell ref="D69:E69"/>
    <mergeCell ref="C70:D70"/>
    <mergeCell ref="C62:E62"/>
    <mergeCell ref="C72:D72"/>
    <mergeCell ref="B63:C63"/>
    <mergeCell ref="D63:E63"/>
    <mergeCell ref="B65:C65"/>
    <mergeCell ref="B67:C67"/>
    <mergeCell ref="D67:E67"/>
  </mergeCells>
  <phoneticPr fontId="0" type="noConversion"/>
  <printOptions horizontalCentered="1" verticalCentered="1"/>
  <pageMargins left="0.51180555555555551" right="0.2361111111111111" top="0.27569444444444446" bottom="0.15763888888888888" header="0.51180555555555551" footer="0.51180555555555551"/>
  <pageSetup paperSize="9" scale="85"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6"/>
  <dimension ref="A1:M51"/>
  <sheetViews>
    <sheetView showZeros="0" topLeftCell="A7" workbookViewId="0">
      <selection activeCell="J15" sqref="J15"/>
    </sheetView>
  </sheetViews>
  <sheetFormatPr defaultColWidth="9.140625" defaultRowHeight="12.75"/>
  <cols>
    <col min="1" max="1" width="12" style="149" customWidth="1"/>
    <col min="2" max="2" width="35.140625" style="149" customWidth="1"/>
    <col min="3" max="3" width="10" style="149" customWidth="1"/>
    <col min="4" max="4" width="17.28515625" style="149" customWidth="1"/>
    <col min="5" max="5" width="15.85546875" style="149" customWidth="1"/>
    <col min="6" max="6" width="12.5703125" style="1" customWidth="1"/>
    <col min="7" max="7" width="13.85546875" style="149" customWidth="1"/>
    <col min="8" max="10" width="9.140625" style="149"/>
    <col min="11" max="11" width="8.28515625" style="149" customWidth="1"/>
    <col min="12" max="12" width="9.140625" style="149"/>
    <col min="13" max="13" width="11" style="149" customWidth="1"/>
    <col min="14" max="16384" width="9.140625" style="149"/>
  </cols>
  <sheetData>
    <row r="1" spans="1:13" ht="19.5" customHeight="1">
      <c r="A1" s="3989" t="str">
        <f>'ANEXA 1'!A1:E1</f>
        <v>CASA  DE  ASIGURĂRI  DE  SĂNĂTATE MEHEDINTI</v>
      </c>
      <c r="B1" s="3989"/>
      <c r="C1" s="3989"/>
      <c r="D1" s="3989"/>
      <c r="E1" s="3989"/>
    </row>
    <row r="2" spans="1:13" s="1" customFormat="1" ht="18">
      <c r="A2" s="42"/>
      <c r="B2" s="42"/>
      <c r="C2" s="17"/>
      <c r="D2" s="152"/>
      <c r="E2" s="152" t="s">
        <v>306</v>
      </c>
      <c r="F2" s="133"/>
      <c r="G2" s="133"/>
      <c r="L2" s="153"/>
      <c r="M2" s="153"/>
    </row>
    <row r="3" spans="1:13" s="1" customFormat="1" ht="15.75">
      <c r="A3" s="42"/>
      <c r="B3" s="42"/>
      <c r="C3" s="17"/>
      <c r="D3" s="17"/>
      <c r="E3" s="17"/>
      <c r="G3" s="133"/>
      <c r="H3" s="133"/>
      <c r="I3" s="154"/>
    </row>
    <row r="4" spans="1:13" s="1" customFormat="1" ht="18">
      <c r="B4" s="153" t="s">
        <v>307</v>
      </c>
      <c r="C4" s="153"/>
      <c r="D4" s="153"/>
      <c r="E4" s="153"/>
      <c r="F4" s="153"/>
    </row>
    <row r="5" spans="1:13" s="1" customFormat="1" ht="18">
      <c r="B5" s="153" t="s">
        <v>308</v>
      </c>
      <c r="C5" s="153"/>
      <c r="D5" s="153"/>
      <c r="E5" s="153"/>
      <c r="F5" s="153"/>
      <c r="G5" s="153"/>
    </row>
    <row r="6" spans="1:13" s="1" customFormat="1" ht="18">
      <c r="B6" s="153" t="s">
        <v>309</v>
      </c>
      <c r="C6" s="153"/>
      <c r="D6" s="153"/>
      <c r="E6" s="153"/>
      <c r="F6" s="153"/>
      <c r="G6" s="153"/>
    </row>
    <row r="7" spans="1:13" s="1" customFormat="1" ht="18">
      <c r="G7" s="153"/>
      <c r="H7" s="153"/>
      <c r="I7" s="153"/>
      <c r="J7" s="153"/>
    </row>
    <row r="8" spans="1:13" s="1" customFormat="1" ht="18">
      <c r="H8" s="153"/>
      <c r="I8" s="153"/>
      <c r="J8" s="153"/>
    </row>
    <row r="9" spans="1:13" s="1" customFormat="1" ht="18">
      <c r="A9" s="39" t="s">
        <v>310</v>
      </c>
      <c r="B9" s="39"/>
      <c r="E9" s="2" t="s">
        <v>271</v>
      </c>
      <c r="H9" s="153"/>
      <c r="I9" s="153"/>
      <c r="J9" s="153"/>
    </row>
    <row r="10" spans="1:13" s="1" customFormat="1" ht="42.75">
      <c r="A10" s="3550" t="s">
        <v>311</v>
      </c>
      <c r="B10" s="3551" t="s">
        <v>312</v>
      </c>
      <c r="C10" s="3551" t="s">
        <v>230</v>
      </c>
      <c r="D10" s="3551" t="s">
        <v>313</v>
      </c>
      <c r="E10" s="3552" t="s">
        <v>314</v>
      </c>
    </row>
    <row r="11" spans="1:13" s="1" customFormat="1">
      <c r="A11" s="3553" t="s">
        <v>315</v>
      </c>
      <c r="B11" s="3554" t="s">
        <v>92</v>
      </c>
      <c r="C11" s="3554" t="s">
        <v>93</v>
      </c>
      <c r="D11" s="3554" t="s">
        <v>94</v>
      </c>
      <c r="E11" s="3555" t="s">
        <v>316</v>
      </c>
    </row>
    <row r="12" spans="1:13" ht="19.899999999999999" customHeight="1">
      <c r="A12" s="3545">
        <v>8047000</v>
      </c>
      <c r="B12" s="3546" t="s">
        <v>317</v>
      </c>
      <c r="C12" s="3547" t="s">
        <v>96</v>
      </c>
      <c r="D12" s="3548"/>
      <c r="E12" s="3549"/>
    </row>
    <row r="13" spans="1:13" ht="28.5">
      <c r="A13" s="3542">
        <v>8052000</v>
      </c>
      <c r="B13" s="3538" t="s">
        <v>318</v>
      </c>
      <c r="C13" s="3519" t="s">
        <v>98</v>
      </c>
      <c r="D13" s="3539"/>
      <c r="E13" s="3543"/>
    </row>
    <row r="14" spans="1:13" ht="29.25" customHeight="1">
      <c r="A14" s="3542">
        <v>8053000</v>
      </c>
      <c r="B14" s="3538" t="s">
        <v>319</v>
      </c>
      <c r="C14" s="3519" t="s">
        <v>100</v>
      </c>
      <c r="D14" s="3539"/>
      <c r="E14" s="3543"/>
    </row>
    <row r="15" spans="1:13" ht="22.5" customHeight="1">
      <c r="A15" s="3542">
        <v>8054000</v>
      </c>
      <c r="B15" s="3538" t="s">
        <v>320</v>
      </c>
      <c r="C15" s="3519" t="s">
        <v>102</v>
      </c>
      <c r="D15" s="3539"/>
      <c r="E15" s="3543"/>
    </row>
    <row r="16" spans="1:13" ht="37.5" customHeight="1">
      <c r="A16" s="3542">
        <v>8055000</v>
      </c>
      <c r="B16" s="3538" t="s">
        <v>321</v>
      </c>
      <c r="C16" s="3519" t="s">
        <v>104</v>
      </c>
      <c r="D16" s="3539"/>
      <c r="E16" s="3543"/>
    </row>
    <row r="17" spans="1:7" ht="65.25" customHeight="1">
      <c r="A17" s="3542">
        <v>8056000</v>
      </c>
      <c r="B17" s="3538" t="s">
        <v>322</v>
      </c>
      <c r="C17" s="3519" t="s">
        <v>107</v>
      </c>
      <c r="D17" s="3539"/>
      <c r="E17" s="3543"/>
    </row>
    <row r="18" spans="1:7" ht="43.5" customHeight="1">
      <c r="A18" s="3542">
        <v>8058000</v>
      </c>
      <c r="B18" s="3540" t="s">
        <v>323</v>
      </c>
      <c r="C18" s="3519" t="s">
        <v>110</v>
      </c>
      <c r="D18" s="3964">
        <v>989629</v>
      </c>
      <c r="E18" s="3543">
        <v>1014888</v>
      </c>
      <c r="G18" s="1969" t="b">
        <f>IF(D18&lt;&gt;0,E18&lt;&gt;0,E18=0)</f>
        <v>1</v>
      </c>
    </row>
    <row r="19" spans="1:7" ht="43.5" customHeight="1">
      <c r="A19" s="3542">
        <v>8039000</v>
      </c>
      <c r="B19" s="3540" t="s">
        <v>324</v>
      </c>
      <c r="C19" s="3519" t="s">
        <v>112</v>
      </c>
      <c r="D19" s="3541"/>
      <c r="E19" s="3544"/>
    </row>
    <row r="20" spans="1:7" ht="43.5" customHeight="1">
      <c r="A20" s="3556">
        <v>8039001</v>
      </c>
      <c r="B20" s="3557" t="s">
        <v>2582</v>
      </c>
      <c r="C20" s="3558" t="s">
        <v>2583</v>
      </c>
      <c r="D20" s="3559"/>
      <c r="E20" s="3560"/>
    </row>
    <row r="21" spans="1:7" ht="30" customHeight="1">
      <c r="A21" s="3561"/>
      <c r="B21" s="3562" t="s">
        <v>325</v>
      </c>
      <c r="C21" s="3563" t="s">
        <v>114</v>
      </c>
      <c r="D21" s="3564">
        <f>ROUND(SUM(D12:D19),1)</f>
        <v>989629</v>
      </c>
      <c r="E21" s="3215">
        <f>ROUND(SUM(E12:E19),1)</f>
        <v>1014888</v>
      </c>
      <c r="G21" s="1783"/>
    </row>
    <row r="22" spans="1:7" s="1" customFormat="1" ht="18.75" customHeight="1">
      <c r="A22" s="42"/>
      <c r="B22" s="3984"/>
      <c r="C22" s="3984"/>
      <c r="D22" s="3984"/>
      <c r="E22" s="3984"/>
      <c r="F22" s="42"/>
    </row>
    <row r="23" spans="1:7" s="1" customFormat="1" ht="18.75" customHeight="1">
      <c r="A23" s="33"/>
      <c r="B23" s="33"/>
      <c r="C23" s="33"/>
      <c r="D23" s="33"/>
      <c r="E23" s="33"/>
      <c r="F23" s="42"/>
    </row>
    <row r="24" spans="1:7" s="1" customFormat="1" ht="15.75" customHeight="1">
      <c r="A24" s="3984" t="str">
        <f>'ANEXA 1'!B94</f>
        <v>DIRECTOR  GENERAL,</v>
      </c>
      <c r="B24" s="3984"/>
      <c r="C24" s="3984" t="str">
        <f>'ANEXA 1'!D94</f>
        <v>DIRECTOR  EXECUTIV  ECONOMIC,</v>
      </c>
      <c r="D24" s="3984"/>
      <c r="E24" s="3984"/>
      <c r="F24" s="42"/>
    </row>
    <row r="25" spans="1:7" s="1" customFormat="1" ht="18" customHeight="1">
      <c r="A25" s="146"/>
      <c r="B25" s="155"/>
      <c r="C25" s="155"/>
      <c r="D25" s="155"/>
      <c r="E25" s="155"/>
      <c r="F25" s="147"/>
    </row>
    <row r="26" spans="1:7" s="1" customFormat="1" ht="15.75">
      <c r="A26" s="3977" t="str">
        <f>'ANEXA 1'!B96</f>
        <v>EC.ALBU DRINA</v>
      </c>
      <c r="B26" s="3977"/>
      <c r="C26" s="3977" t="str">
        <f>'ANEXA 1'!D96</f>
        <v>EC.BIRCU FLORINA</v>
      </c>
      <c r="D26" s="3977"/>
      <c r="E26" s="3977"/>
      <c r="F26" s="147"/>
    </row>
    <row r="27" spans="1:7" s="1" customFormat="1" ht="15.75" customHeight="1">
      <c r="A27" s="4025">
        <f>'ANEXA 1'!B97</f>
        <v>0</v>
      </c>
      <c r="B27" s="4025"/>
      <c r="C27" s="1158"/>
      <c r="D27" s="155"/>
      <c r="E27" s="155"/>
      <c r="F27" s="42"/>
    </row>
    <row r="28" spans="1:7" s="1" customFormat="1" ht="15.75" customHeight="1">
      <c r="A28" s="146"/>
      <c r="B28" s="155"/>
      <c r="C28" s="155"/>
      <c r="D28" s="155"/>
      <c r="E28" s="155"/>
      <c r="F28" s="42"/>
    </row>
    <row r="29" spans="1:7" s="1" customFormat="1" ht="15.75" customHeight="1">
      <c r="A29" s="146"/>
      <c r="F29" s="42"/>
    </row>
    <row r="30" spans="1:7" ht="15">
      <c r="A30" s="4023">
        <f>+'ANEXA 1'!B99</f>
        <v>0</v>
      </c>
      <c r="B30" s="4024"/>
      <c r="C30" s="4001">
        <f>'ANEXA 1'!D99</f>
        <v>0</v>
      </c>
      <c r="D30" s="4001"/>
      <c r="E30" s="4001"/>
    </row>
    <row r="31" spans="1:7" ht="15">
      <c r="A31" s="1581"/>
      <c r="B31" s="1581"/>
    </row>
    <row r="32" spans="1:7" ht="15">
      <c r="A32" s="4024">
        <f>+'ANEXA 1'!B101</f>
        <v>0</v>
      </c>
      <c r="B32" s="4024"/>
      <c r="C32" s="4001">
        <f>'ANEXA 1'!D101</f>
        <v>0</v>
      </c>
      <c r="D32" s="4001"/>
      <c r="E32" s="4001"/>
    </row>
    <row r="33" spans="4:4" s="149" customFormat="1"/>
    <row r="34" spans="4:4" s="149" customFormat="1"/>
    <row r="35" spans="4:4" s="149" customFormat="1"/>
    <row r="36" spans="4:4" s="149" customFormat="1"/>
    <row r="37" spans="4:4" s="149" customFormat="1">
      <c r="D37" s="1054"/>
    </row>
    <row r="38" spans="4:4" s="149" customFormat="1">
      <c r="D38" s="1054"/>
    </row>
    <row r="39" spans="4:4" s="149" customFormat="1">
      <c r="D39" s="1059"/>
    </row>
    <row r="40" spans="4:4" s="149" customFormat="1"/>
    <row r="41" spans="4:4" s="149" customFormat="1"/>
    <row r="42" spans="4:4" s="149" customFormat="1" ht="15" customHeight="1"/>
    <row r="43" spans="4:4" s="149" customFormat="1" ht="12.75" hidden="1" customHeight="1"/>
    <row r="44" spans="4:4" s="149" customFormat="1"/>
    <row r="45" spans="4:4" s="149" customFormat="1"/>
    <row r="46" spans="4:4" s="149" customFormat="1"/>
    <row r="47" spans="4:4" s="149" customFormat="1"/>
    <row r="48" spans="4:4" s="149" customFormat="1"/>
    <row r="49" s="149" customFormat="1"/>
    <row r="50" s="149" customFormat="1"/>
    <row r="51" s="149" customFormat="1"/>
  </sheetData>
  <sheetProtection password="CFDD" sheet="1" objects="1" scenarios="1"/>
  <mergeCells count="11">
    <mergeCell ref="C30:E30"/>
    <mergeCell ref="C32:E32"/>
    <mergeCell ref="C26:E26"/>
    <mergeCell ref="A1:E1"/>
    <mergeCell ref="B22:E22"/>
    <mergeCell ref="C24:E24"/>
    <mergeCell ref="A24:B24"/>
    <mergeCell ref="A26:B26"/>
    <mergeCell ref="A30:B30"/>
    <mergeCell ref="A32:B32"/>
    <mergeCell ref="A27:B27"/>
  </mergeCells>
  <phoneticPr fontId="0" type="noConversion"/>
  <dataValidations count="2">
    <dataValidation type="whole" allowBlank="1" showErrorMessage="1" sqref="D12:E20">
      <formula1>0</formula1>
      <formula2>9.99999999999999E+26</formula2>
    </dataValidation>
    <dataValidation type="whole" allowBlank="1" showErrorMessage="1" sqref="D21:E21">
      <formula1>-9.99999999999999E+25</formula1>
      <formula2>9.99999999999999E+26</formula2>
    </dataValidation>
  </dataValidations>
  <pageMargins left="0.74803149606299213" right="0.23622047244094491" top="0.43307086614173229" bottom="0.51181102362204722" header="0.51181102362204722" footer="0.51181102362204722"/>
  <pageSetup paperSize="9" scale="90" firstPageNumber="0"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6">
    <tabColor indexed="57"/>
  </sheetPr>
  <dimension ref="A1:P117"/>
  <sheetViews>
    <sheetView showZeros="0" zoomScaleNormal="100" workbookViewId="0">
      <pane xSplit="1" ySplit="8" topLeftCell="B96" activePane="bottomRight" state="frozen"/>
      <selection sqref="A1:E1"/>
      <selection pane="topRight" sqref="A1:E1"/>
      <selection pane="bottomLeft" sqref="A1:E1"/>
      <selection pane="bottomRight" activeCell="D107" sqref="D107"/>
    </sheetView>
  </sheetViews>
  <sheetFormatPr defaultColWidth="9.140625" defaultRowHeight="12.75"/>
  <cols>
    <col min="1" max="1" width="69" style="773" customWidth="1"/>
    <col min="2" max="3" width="15.85546875" style="773" customWidth="1"/>
    <col min="4" max="4" width="15.140625" style="774" customWidth="1"/>
    <col min="5" max="5" width="15.140625" style="773" customWidth="1"/>
    <col min="6" max="6" width="15.140625" style="774" customWidth="1"/>
    <col min="7" max="7" width="12.5703125" style="773" customWidth="1"/>
    <col min="8" max="8" width="13.42578125" style="773" customWidth="1"/>
    <col min="9" max="9" width="14.5703125" style="773" customWidth="1"/>
    <col min="10" max="10" width="15.5703125" style="773" customWidth="1"/>
    <col min="11" max="16384" width="9.140625" style="773"/>
  </cols>
  <sheetData>
    <row r="1" spans="1:14" s="775" customFormat="1" ht="15.75">
      <c r="A1" s="1047" t="str">
        <f>+'Bugetul de stat'!A1</f>
        <v>CASA  DE  ASIGURĂRI  DE  SĂNĂTATE MEHEDINTI</v>
      </c>
      <c r="D1" s="776"/>
      <c r="F1" s="776"/>
    </row>
    <row r="2" spans="1:14" s="775" customFormat="1" ht="15.75">
      <c r="A2" s="777"/>
      <c r="D2" s="776"/>
      <c r="F2" s="776"/>
    </row>
    <row r="3" spans="1:14" s="775" customFormat="1" ht="17.25" customHeight="1">
      <c r="A3" s="4642" t="s">
        <v>2627</v>
      </c>
      <c r="B3" s="4642"/>
      <c r="C3" s="4642"/>
      <c r="D3" s="4642"/>
      <c r="E3" s="4642"/>
      <c r="F3" s="4642"/>
      <c r="G3" s="4642"/>
      <c r="H3" s="4642"/>
      <c r="I3" s="4642"/>
      <c r="J3" s="4642"/>
    </row>
    <row r="4" spans="1:14">
      <c r="A4" s="778"/>
      <c r="D4" s="779"/>
    </row>
    <row r="5" spans="1:14">
      <c r="A5" s="778"/>
      <c r="J5" s="780" t="s">
        <v>1640</v>
      </c>
    </row>
    <row r="6" spans="1:14" ht="51" customHeight="1">
      <c r="A6" s="4648" t="s">
        <v>1641</v>
      </c>
      <c r="B6" s="4643" t="s">
        <v>2558</v>
      </c>
      <c r="C6" s="4643" t="s">
        <v>2620</v>
      </c>
      <c r="D6" s="4643" t="s">
        <v>2621</v>
      </c>
      <c r="E6" s="4643" t="s">
        <v>2559</v>
      </c>
      <c r="F6" s="4643" t="s">
        <v>2622</v>
      </c>
      <c r="G6" s="4643" t="s">
        <v>2623</v>
      </c>
      <c r="H6" s="4645" t="s">
        <v>2624</v>
      </c>
      <c r="I6" s="4646"/>
      <c r="J6" s="4647"/>
    </row>
    <row r="7" spans="1:14" s="781" customFormat="1" ht="25.5">
      <c r="A7" s="4649"/>
      <c r="B7" s="4644"/>
      <c r="C7" s="4644"/>
      <c r="D7" s="4644"/>
      <c r="E7" s="4644"/>
      <c r="F7" s="4644"/>
      <c r="G7" s="4644"/>
      <c r="H7" s="1203" t="s">
        <v>1642</v>
      </c>
      <c r="I7" s="1203" t="s">
        <v>1643</v>
      </c>
      <c r="J7" s="1203" t="s">
        <v>1644</v>
      </c>
    </row>
    <row r="8" spans="1:14" s="785" customFormat="1">
      <c r="A8" s="782">
        <v>0</v>
      </c>
      <c r="B8" s="783">
        <v>1</v>
      </c>
      <c r="C8" s="783">
        <v>2</v>
      </c>
      <c r="D8" s="784">
        <v>3</v>
      </c>
      <c r="E8" s="783">
        <v>4</v>
      </c>
      <c r="F8" s="784">
        <v>5</v>
      </c>
      <c r="G8" s="783">
        <v>6</v>
      </c>
      <c r="H8" s="783" t="s">
        <v>1645</v>
      </c>
      <c r="I8" s="783">
        <v>8</v>
      </c>
      <c r="J8" s="783">
        <v>9</v>
      </c>
      <c r="K8" s="773"/>
      <c r="L8" s="773"/>
      <c r="M8" s="773"/>
      <c r="N8" s="773"/>
    </row>
    <row r="9" spans="1:14" s="785" customFormat="1">
      <c r="A9" s="787" t="s">
        <v>1646</v>
      </c>
      <c r="B9" s="3238">
        <f>+B10+B15</f>
        <v>0</v>
      </c>
      <c r="C9" s="3238">
        <f t="shared" ref="C9:J9" si="0">+C10+C15</f>
        <v>0</v>
      </c>
      <c r="D9" s="3238">
        <f t="shared" si="0"/>
        <v>0</v>
      </c>
      <c r="E9" s="3238">
        <f t="shared" si="0"/>
        <v>0</v>
      </c>
      <c r="F9" s="3238">
        <f t="shared" si="0"/>
        <v>0</v>
      </c>
      <c r="G9" s="3238">
        <f t="shared" si="0"/>
        <v>0</v>
      </c>
      <c r="H9" s="3238">
        <f t="shared" si="0"/>
        <v>0</v>
      </c>
      <c r="I9" s="3238">
        <f t="shared" si="0"/>
        <v>0</v>
      </c>
      <c r="J9" s="3238">
        <f t="shared" si="0"/>
        <v>0</v>
      </c>
      <c r="K9" s="773"/>
      <c r="L9" s="773"/>
      <c r="M9" s="773"/>
      <c r="N9" s="773"/>
    </row>
    <row r="10" spans="1:14" s="1097" customFormat="1" ht="25.5">
      <c r="A10" s="3237" t="s">
        <v>2585</v>
      </c>
      <c r="B10" s="1103">
        <f t="shared" ref="B10:G10" si="1">+B11+B14</f>
        <v>0</v>
      </c>
      <c r="C10" s="1103">
        <f t="shared" si="1"/>
        <v>0</v>
      </c>
      <c r="D10" s="1103">
        <f t="shared" si="1"/>
        <v>0</v>
      </c>
      <c r="E10" s="1103">
        <f t="shared" ref="E10" si="2">+E11+E14</f>
        <v>0</v>
      </c>
      <c r="F10" s="1103">
        <f t="shared" ref="F10" si="3">+F11+F14</f>
        <v>0</v>
      </c>
      <c r="G10" s="1103">
        <f t="shared" si="1"/>
        <v>0</v>
      </c>
      <c r="H10" s="1099">
        <f>+I10+J10</f>
        <v>0</v>
      </c>
      <c r="I10" s="1103">
        <f>+I11+I14</f>
        <v>0</v>
      </c>
      <c r="J10" s="1103">
        <f>+J11+J14</f>
        <v>0</v>
      </c>
      <c r="K10" s="2493"/>
      <c r="L10" s="2493"/>
      <c r="M10" s="2493"/>
      <c r="N10" s="2493"/>
    </row>
    <row r="11" spans="1:14" s="785" customFormat="1">
      <c r="A11" s="1104" t="s">
        <v>2456</v>
      </c>
      <c r="B11" s="2478">
        <f>+B12+B13</f>
        <v>0</v>
      </c>
      <c r="C11" s="2478">
        <f t="shared" ref="C11:J11" si="4">+C12+C13</f>
        <v>0</v>
      </c>
      <c r="D11" s="2478">
        <f t="shared" si="4"/>
        <v>0</v>
      </c>
      <c r="E11" s="2478">
        <f t="shared" si="4"/>
        <v>0</v>
      </c>
      <c r="F11" s="2478">
        <f t="shared" si="4"/>
        <v>0</v>
      </c>
      <c r="G11" s="2478">
        <f t="shared" si="4"/>
        <v>0</v>
      </c>
      <c r="H11" s="2478">
        <f t="shared" si="4"/>
        <v>0</v>
      </c>
      <c r="I11" s="2478">
        <f t="shared" si="4"/>
        <v>0</v>
      </c>
      <c r="J11" s="2478">
        <f t="shared" si="4"/>
        <v>0</v>
      </c>
      <c r="K11" s="2494"/>
      <c r="L11" s="2494"/>
      <c r="M11" s="2494"/>
      <c r="N11" s="2494"/>
    </row>
    <row r="12" spans="1:14" s="785" customFormat="1">
      <c r="A12" s="2479" t="s">
        <v>1539</v>
      </c>
      <c r="B12" s="1045">
        <f>+'CONT EXECUTIE  '!C178</f>
        <v>0</v>
      </c>
      <c r="C12" s="1045">
        <f>+'CONT EXECUTIE  '!D178</f>
        <v>0</v>
      </c>
      <c r="D12" s="1046"/>
      <c r="E12" s="1045">
        <f>+'CONT EXECUTIE  '!E178</f>
        <v>0</v>
      </c>
      <c r="F12" s="1045">
        <f>+'CONT EXECUTIE  '!F178</f>
        <v>0</v>
      </c>
      <c r="G12" s="1046"/>
      <c r="H12" s="1101">
        <f t="shared" ref="H12:H13" si="5">+I12+J12</f>
        <v>0</v>
      </c>
      <c r="I12" s="1046"/>
      <c r="J12" s="1046"/>
      <c r="K12" s="2499"/>
      <c r="L12" s="2499"/>
      <c r="M12" s="2499"/>
      <c r="N12" s="2499"/>
    </row>
    <row r="13" spans="1:14" s="785" customFormat="1" ht="51">
      <c r="A13" s="2479" t="s">
        <v>2457</v>
      </c>
      <c r="B13" s="1045">
        <f>+'CONT EXECUTIE  '!C179</f>
        <v>0</v>
      </c>
      <c r="C13" s="1045">
        <f>+'CONT EXECUTIE  '!D179</f>
        <v>0</v>
      </c>
      <c r="D13" s="1046"/>
      <c r="E13" s="1045">
        <f>+'CONT EXECUTIE  '!E179</f>
        <v>0</v>
      </c>
      <c r="F13" s="1045">
        <f>+'CONT EXECUTIE  '!F179</f>
        <v>0</v>
      </c>
      <c r="G13" s="1046"/>
      <c r="H13" s="1101">
        <f t="shared" si="5"/>
        <v>0</v>
      </c>
      <c r="I13" s="1046"/>
      <c r="J13" s="1046"/>
      <c r="K13" s="2494"/>
      <c r="L13" s="2494"/>
      <c r="M13" s="2494"/>
      <c r="N13" s="2494"/>
    </row>
    <row r="14" spans="1:14" s="785" customFormat="1">
      <c r="A14" s="1104" t="s">
        <v>1647</v>
      </c>
      <c r="B14" s="1045">
        <f>+'CONT EXECUTIE  '!C209</f>
        <v>0</v>
      </c>
      <c r="C14" s="1045">
        <f>+'CONT EXECUTIE  '!D209</f>
        <v>0</v>
      </c>
      <c r="D14" s="1046"/>
      <c r="E14" s="1045">
        <f>+'CONT EXECUTIE  '!E209</f>
        <v>0</v>
      </c>
      <c r="F14" s="1045">
        <f>+'CONT EXECUTIE  '!F209</f>
        <v>0</v>
      </c>
      <c r="G14" s="1046"/>
      <c r="H14" s="1101">
        <f>+I14+J14</f>
        <v>0</v>
      </c>
      <c r="I14" s="1046"/>
      <c r="J14" s="1046"/>
      <c r="K14" s="2494"/>
      <c r="L14" s="2494"/>
      <c r="M14" s="2494"/>
      <c r="N14" s="2494"/>
    </row>
    <row r="15" spans="1:14" s="785" customFormat="1" ht="25.5">
      <c r="A15" s="3233" t="s">
        <v>2586</v>
      </c>
      <c r="B15" s="3234">
        <f>+'CONT EXECUTIE  '!C240</f>
        <v>0</v>
      </c>
      <c r="C15" s="3234">
        <f>+'CONT EXECUTIE  '!D240</f>
        <v>0</v>
      </c>
      <c r="D15" s="3235"/>
      <c r="E15" s="3234">
        <f>+'CONT EXECUTIE  '!E240</f>
        <v>0</v>
      </c>
      <c r="F15" s="3234">
        <f>+'CONT EXECUTIE  '!F240</f>
        <v>0</v>
      </c>
      <c r="G15" s="3235"/>
      <c r="H15" s="3236">
        <f>+I15+J15</f>
        <v>0</v>
      </c>
      <c r="I15" s="3235"/>
      <c r="J15" s="3235"/>
      <c r="K15" s="2494"/>
      <c r="L15" s="2494"/>
      <c r="M15" s="2494"/>
      <c r="N15" s="2494"/>
    </row>
    <row r="16" spans="1:14" s="1097" customFormat="1" ht="25.5">
      <c r="A16" s="787" t="s">
        <v>1263</v>
      </c>
      <c r="B16" s="1103">
        <f t="shared" ref="B16:G16" si="6">+B17+B24+B25+B28</f>
        <v>0</v>
      </c>
      <c r="C16" s="1103">
        <f t="shared" si="6"/>
        <v>0</v>
      </c>
      <c r="D16" s="1103">
        <f t="shared" si="6"/>
        <v>0</v>
      </c>
      <c r="E16" s="1103">
        <f t="shared" ref="E16" si="7">+E17+E24+E25+E28</f>
        <v>0</v>
      </c>
      <c r="F16" s="1103">
        <f t="shared" ref="F16" si="8">+F17+F24+F25+F28</f>
        <v>0</v>
      </c>
      <c r="G16" s="1103">
        <f t="shared" si="6"/>
        <v>0</v>
      </c>
      <c r="H16" s="1099">
        <f>+I16+J16</f>
        <v>0</v>
      </c>
      <c r="I16" s="1103">
        <f>+I17+I24+I25+I28</f>
        <v>0</v>
      </c>
      <c r="J16" s="1103">
        <f>+J17+J24+J25+J28</f>
        <v>0</v>
      </c>
      <c r="K16" s="2493"/>
      <c r="L16" s="2493"/>
      <c r="M16" s="2493"/>
      <c r="N16" s="2493"/>
    </row>
    <row r="17" spans="1:16" s="785" customFormat="1">
      <c r="A17" s="788" t="s">
        <v>1648</v>
      </c>
      <c r="B17" s="1045">
        <f>+B18+B21</f>
        <v>0</v>
      </c>
      <c r="C17" s="1045">
        <f t="shared" ref="C17:J17" si="9">+C18+C21</f>
        <v>0</v>
      </c>
      <c r="D17" s="1045">
        <f t="shared" si="9"/>
        <v>0</v>
      </c>
      <c r="E17" s="1045">
        <f t="shared" si="9"/>
        <v>0</v>
      </c>
      <c r="F17" s="1045">
        <f t="shared" si="9"/>
        <v>0</v>
      </c>
      <c r="G17" s="1045">
        <f t="shared" si="9"/>
        <v>0</v>
      </c>
      <c r="H17" s="1045">
        <f t="shared" si="9"/>
        <v>0</v>
      </c>
      <c r="I17" s="1045">
        <f t="shared" si="9"/>
        <v>0</v>
      </c>
      <c r="J17" s="1045">
        <f t="shared" si="9"/>
        <v>0</v>
      </c>
      <c r="K17" s="2494"/>
      <c r="L17" s="2494"/>
      <c r="M17" s="2494"/>
      <c r="N17" s="2494"/>
    </row>
    <row r="18" spans="1:16" s="785" customFormat="1" ht="15">
      <c r="A18" s="788" t="s">
        <v>2501</v>
      </c>
      <c r="B18" s="1045">
        <f>+B19+B20</f>
        <v>0</v>
      </c>
      <c r="C18" s="1045">
        <f t="shared" ref="C18:J18" si="10">+C19+C20</f>
        <v>0</v>
      </c>
      <c r="D18" s="1045">
        <f t="shared" si="10"/>
        <v>0</v>
      </c>
      <c r="E18" s="1045">
        <f t="shared" si="10"/>
        <v>0</v>
      </c>
      <c r="F18" s="1045">
        <f t="shared" si="10"/>
        <v>0</v>
      </c>
      <c r="G18" s="1045">
        <f t="shared" si="10"/>
        <v>0</v>
      </c>
      <c r="H18" s="1045">
        <f t="shared" si="10"/>
        <v>0</v>
      </c>
      <c r="I18" s="1045">
        <f t="shared" si="10"/>
        <v>0</v>
      </c>
      <c r="J18" s="1045">
        <f t="shared" si="10"/>
        <v>0</v>
      </c>
      <c r="K18" s="2499">
        <f>IF(B18='CONT EXECUTIE  '!C278,0,"eroare")</f>
        <v>0</v>
      </c>
      <c r="L18" s="2499">
        <f>IF(E18='CONT EXECUTIE  '!E278,0,"eroare")</f>
        <v>0</v>
      </c>
      <c r="M18" s="2499">
        <f>IF(F18='CONT EXECUTIE  '!F278,0,"eroare")</f>
        <v>0</v>
      </c>
      <c r="N18" s="2499">
        <f>IF(H18=PLATI!C255,0,"eroare")</f>
        <v>0</v>
      </c>
      <c r="O18" s="798"/>
      <c r="P18" s="798"/>
    </row>
    <row r="19" spans="1:16" s="785" customFormat="1" ht="15">
      <c r="A19" s="2479" t="s">
        <v>1539</v>
      </c>
      <c r="B19" s="1045">
        <f>+'CONT EXECUTIE  '!C279</f>
        <v>0</v>
      </c>
      <c r="C19" s="1045">
        <f>+'CONT EXECUTIE  '!D279</f>
        <v>0</v>
      </c>
      <c r="D19" s="1046"/>
      <c r="E19" s="1045">
        <f>+'CONT EXECUTIE  '!E279</f>
        <v>0</v>
      </c>
      <c r="F19" s="1045">
        <f>+'CONT EXECUTIE  '!F279</f>
        <v>0</v>
      </c>
      <c r="G19" s="2807"/>
      <c r="H19" s="1101">
        <f t="shared" ref="H19:H28" si="11">+I19+J19</f>
        <v>0</v>
      </c>
      <c r="I19" s="2807"/>
      <c r="J19" s="2807"/>
      <c r="K19" s="2499"/>
      <c r="L19" s="2499"/>
      <c r="M19" s="2499"/>
      <c r="N19" s="2499"/>
      <c r="O19" s="798"/>
      <c r="P19" s="798"/>
    </row>
    <row r="20" spans="1:16" s="785" customFormat="1" ht="51.75">
      <c r="A20" s="2479" t="s">
        <v>2457</v>
      </c>
      <c r="B20" s="1045">
        <f>+'CONT EXECUTIE  '!C280</f>
        <v>0</v>
      </c>
      <c r="C20" s="1045">
        <f>+'CONT EXECUTIE  '!D280</f>
        <v>0</v>
      </c>
      <c r="D20" s="1046"/>
      <c r="E20" s="1045">
        <f>+'CONT EXECUTIE  '!E280</f>
        <v>0</v>
      </c>
      <c r="F20" s="1045">
        <f>+'CONT EXECUTIE  '!F280</f>
        <v>0</v>
      </c>
      <c r="G20" s="2807"/>
      <c r="H20" s="1101">
        <f t="shared" si="11"/>
        <v>0</v>
      </c>
      <c r="I20" s="2807"/>
      <c r="J20" s="2807"/>
      <c r="K20" s="2499"/>
      <c r="L20" s="2499"/>
      <c r="M20" s="2499"/>
      <c r="N20" s="2499"/>
      <c r="O20" s="798"/>
      <c r="P20" s="798"/>
    </row>
    <row r="21" spans="1:16" s="2481" customFormat="1">
      <c r="A21" s="2480" t="s">
        <v>2458</v>
      </c>
      <c r="B21" s="2478">
        <f>+B22+B23</f>
        <v>0</v>
      </c>
      <c r="C21" s="2478">
        <f t="shared" ref="C21:J21" si="12">+C22+C23</f>
        <v>0</v>
      </c>
      <c r="D21" s="2478">
        <f t="shared" si="12"/>
        <v>0</v>
      </c>
      <c r="E21" s="2478">
        <f t="shared" si="12"/>
        <v>0</v>
      </c>
      <c r="F21" s="2478">
        <f t="shared" si="12"/>
        <v>0</v>
      </c>
      <c r="G21" s="2478">
        <f t="shared" si="12"/>
        <v>0</v>
      </c>
      <c r="H21" s="2478">
        <f t="shared" si="12"/>
        <v>0</v>
      </c>
      <c r="I21" s="2478">
        <f t="shared" si="12"/>
        <v>0</v>
      </c>
      <c r="J21" s="2478">
        <f t="shared" si="12"/>
        <v>0</v>
      </c>
      <c r="K21" s="2495"/>
      <c r="L21" s="2495"/>
      <c r="M21" s="2495"/>
      <c r="N21" s="2495"/>
    </row>
    <row r="22" spans="1:16" s="785" customFormat="1">
      <c r="A22" s="2479" t="s">
        <v>1539</v>
      </c>
      <c r="B22" s="1045">
        <f>+'CONT EXECUTIE  '!C213</f>
        <v>0</v>
      </c>
      <c r="C22" s="1045">
        <f>+'CONT EXECUTIE  '!D213</f>
        <v>0</v>
      </c>
      <c r="D22" s="1046"/>
      <c r="E22" s="1045">
        <f>+'CONT EXECUTIE  '!E213</f>
        <v>0</v>
      </c>
      <c r="F22" s="1045">
        <f>+'CONT EXECUTIE  '!F213</f>
        <v>0</v>
      </c>
      <c r="G22" s="1046"/>
      <c r="H22" s="1101">
        <f t="shared" ref="H22:H23" si="13">+I22+J22</f>
        <v>0</v>
      </c>
      <c r="I22" s="1046"/>
      <c r="J22" s="1046"/>
      <c r="K22" s="2494"/>
      <c r="L22" s="2494"/>
      <c r="M22" s="2494"/>
      <c r="N22" s="2494"/>
    </row>
    <row r="23" spans="1:16" s="785" customFormat="1" ht="51">
      <c r="A23" s="2479" t="s">
        <v>2457</v>
      </c>
      <c r="B23" s="1045">
        <f>+'CONT EXECUTIE  '!C214</f>
        <v>0</v>
      </c>
      <c r="C23" s="1045">
        <f>+'CONT EXECUTIE  '!D214</f>
        <v>0</v>
      </c>
      <c r="D23" s="1046"/>
      <c r="E23" s="1045">
        <f>+'CONT EXECUTIE  '!E214</f>
        <v>0</v>
      </c>
      <c r="F23" s="1045">
        <f>+'CONT EXECUTIE  '!F214</f>
        <v>0</v>
      </c>
      <c r="G23" s="1046"/>
      <c r="H23" s="1101">
        <f t="shared" si="13"/>
        <v>0</v>
      </c>
      <c r="I23" s="1046"/>
      <c r="J23" s="1046"/>
      <c r="K23" s="2494"/>
      <c r="L23" s="2494"/>
      <c r="M23" s="2494"/>
      <c r="N23" s="2494"/>
    </row>
    <row r="24" spans="1:16" s="785" customFormat="1" ht="25.5">
      <c r="A24" s="788" t="s">
        <v>1649</v>
      </c>
      <c r="B24" s="1045">
        <f>+'CONT EXECUTIE  '!C215</f>
        <v>0</v>
      </c>
      <c r="C24" s="1045">
        <f>+'CONT EXECUTIE  '!D215</f>
        <v>0</v>
      </c>
      <c r="D24" s="1046"/>
      <c r="E24" s="1045">
        <f>+'CONT EXECUTIE  '!E215</f>
        <v>0</v>
      </c>
      <c r="F24" s="1045">
        <f>+'CONT EXECUTIE  '!F215</f>
        <v>0</v>
      </c>
      <c r="G24" s="1046"/>
      <c r="H24" s="1045">
        <f t="shared" si="11"/>
        <v>0</v>
      </c>
      <c r="I24" s="1046"/>
      <c r="J24" s="1046"/>
      <c r="K24" s="2494"/>
      <c r="L24" s="2494"/>
      <c r="M24" s="2494"/>
      <c r="N24" s="2494"/>
    </row>
    <row r="25" spans="1:16" s="2481" customFormat="1" ht="25.5">
      <c r="A25" s="2480" t="s">
        <v>2459</v>
      </c>
      <c r="B25" s="2478">
        <f>+B26+B27</f>
        <v>0</v>
      </c>
      <c r="C25" s="2478">
        <f t="shared" ref="C25:J25" si="14">+C26+C27</f>
        <v>0</v>
      </c>
      <c r="D25" s="2478">
        <f t="shared" si="14"/>
        <v>0</v>
      </c>
      <c r="E25" s="2478">
        <f t="shared" si="14"/>
        <v>0</v>
      </c>
      <c r="F25" s="2478">
        <f t="shared" si="14"/>
        <v>0</v>
      </c>
      <c r="G25" s="2478">
        <f t="shared" si="14"/>
        <v>0</v>
      </c>
      <c r="H25" s="2478">
        <f t="shared" si="14"/>
        <v>0</v>
      </c>
      <c r="I25" s="2478">
        <f t="shared" si="14"/>
        <v>0</v>
      </c>
      <c r="J25" s="2478">
        <f t="shared" si="14"/>
        <v>0</v>
      </c>
      <c r="K25" s="2495"/>
      <c r="L25" s="2495"/>
      <c r="M25" s="2495"/>
      <c r="N25" s="2495"/>
    </row>
    <row r="26" spans="1:16" s="785" customFormat="1">
      <c r="A26" s="2479" t="s">
        <v>1539</v>
      </c>
      <c r="B26" s="1045">
        <f>+'CONT EXECUTIE  '!C217</f>
        <v>0</v>
      </c>
      <c r="C26" s="1045">
        <f>+'CONT EXECUTIE  '!D217</f>
        <v>0</v>
      </c>
      <c r="D26" s="1046"/>
      <c r="E26" s="1045">
        <f>+'CONT EXECUTIE  '!E217</f>
        <v>0</v>
      </c>
      <c r="F26" s="1045">
        <f>+'CONT EXECUTIE  '!F217</f>
        <v>0</v>
      </c>
      <c r="G26" s="1046"/>
      <c r="H26" s="1045">
        <f t="shared" ref="H26:H27" si="15">+I26+J26</f>
        <v>0</v>
      </c>
      <c r="I26" s="1046"/>
      <c r="J26" s="1046"/>
      <c r="K26" s="2494"/>
      <c r="L26" s="2494"/>
      <c r="M26" s="2494"/>
      <c r="N26" s="2494"/>
    </row>
    <row r="27" spans="1:16" s="785" customFormat="1" ht="51">
      <c r="A27" s="2479" t="s">
        <v>2457</v>
      </c>
      <c r="B27" s="1045">
        <f>+'CONT EXECUTIE  '!C218</f>
        <v>0</v>
      </c>
      <c r="C27" s="1045">
        <f>+'CONT EXECUTIE  '!D218</f>
        <v>0</v>
      </c>
      <c r="D27" s="1046"/>
      <c r="E27" s="1045">
        <f>+'CONT EXECUTIE  '!E218</f>
        <v>0</v>
      </c>
      <c r="F27" s="1045">
        <f>+'CONT EXECUTIE  '!F218</f>
        <v>0</v>
      </c>
      <c r="G27" s="1046"/>
      <c r="H27" s="1045">
        <f t="shared" si="15"/>
        <v>0</v>
      </c>
      <c r="I27" s="1046"/>
      <c r="J27" s="1046"/>
      <c r="K27" s="2494"/>
      <c r="L27" s="2494"/>
      <c r="M27" s="2494"/>
      <c r="N27" s="2494"/>
    </row>
    <row r="28" spans="1:16" s="785" customFormat="1" ht="25.5">
      <c r="A28" s="788" t="s">
        <v>1650</v>
      </c>
      <c r="B28" s="1045">
        <f>+'CONT EXECUTIE  '!C219</f>
        <v>0</v>
      </c>
      <c r="C28" s="1045">
        <f>+'CONT EXECUTIE  '!D219</f>
        <v>0</v>
      </c>
      <c r="D28" s="1046"/>
      <c r="E28" s="1045">
        <f>+'CONT EXECUTIE  '!E219</f>
        <v>0</v>
      </c>
      <c r="F28" s="1045">
        <f>+'CONT EXECUTIE  '!F219</f>
        <v>0</v>
      </c>
      <c r="G28" s="1046"/>
      <c r="H28" s="1045">
        <f t="shared" si="11"/>
        <v>0</v>
      </c>
      <c r="I28" s="1046"/>
      <c r="J28" s="1046"/>
      <c r="K28" s="2494"/>
      <c r="L28" s="2494"/>
      <c r="M28" s="2494"/>
      <c r="N28" s="2494"/>
    </row>
    <row r="29" spans="1:16" s="1097" customFormat="1">
      <c r="A29" s="787" t="s">
        <v>2460</v>
      </c>
      <c r="B29" s="1103">
        <f>+B30+B31</f>
        <v>0</v>
      </c>
      <c r="C29" s="1103">
        <f t="shared" ref="C29:J29" si="16">+C30+C31</f>
        <v>0</v>
      </c>
      <c r="D29" s="1103">
        <f t="shared" si="16"/>
        <v>0</v>
      </c>
      <c r="E29" s="1103">
        <f t="shared" si="16"/>
        <v>0</v>
      </c>
      <c r="F29" s="1103">
        <f t="shared" si="16"/>
        <v>0</v>
      </c>
      <c r="G29" s="1103">
        <f t="shared" si="16"/>
        <v>0</v>
      </c>
      <c r="H29" s="1103">
        <f t="shared" si="16"/>
        <v>0</v>
      </c>
      <c r="I29" s="1103">
        <f t="shared" si="16"/>
        <v>0</v>
      </c>
      <c r="J29" s="1103">
        <f t="shared" si="16"/>
        <v>0</v>
      </c>
      <c r="K29" s="2493"/>
      <c r="L29" s="2493"/>
      <c r="M29" s="2493"/>
      <c r="N29" s="2493"/>
    </row>
    <row r="30" spans="1:16" s="785" customFormat="1">
      <c r="A30" s="2479" t="s">
        <v>1539</v>
      </c>
      <c r="B30" s="1045">
        <f>+'CONT EXECUTIE  '!C207</f>
        <v>0</v>
      </c>
      <c r="C30" s="1045">
        <f>+'CONT EXECUTIE  '!D207</f>
        <v>0</v>
      </c>
      <c r="D30" s="1046"/>
      <c r="E30" s="1045">
        <f>+'CONT EXECUTIE  '!E207</f>
        <v>0</v>
      </c>
      <c r="F30" s="1045">
        <f>+'CONT EXECUTIE  '!F207</f>
        <v>0</v>
      </c>
      <c r="G30" s="1046"/>
      <c r="H30" s="1101">
        <f t="shared" ref="H30:H31" si="17">+I30+J30</f>
        <v>0</v>
      </c>
      <c r="I30" s="1046"/>
      <c r="J30" s="1046"/>
      <c r="K30" s="2494"/>
      <c r="L30" s="2494"/>
      <c r="M30" s="2494"/>
      <c r="N30" s="2494"/>
    </row>
    <row r="31" spans="1:16" s="785" customFormat="1" ht="51">
      <c r="A31" s="2479" t="s">
        <v>2457</v>
      </c>
      <c r="B31" s="1045">
        <f>+'CONT EXECUTIE  '!C208</f>
        <v>0</v>
      </c>
      <c r="C31" s="1045">
        <f>+'CONT EXECUTIE  '!D208</f>
        <v>0</v>
      </c>
      <c r="D31" s="1046"/>
      <c r="E31" s="1045">
        <f>+'CONT EXECUTIE  '!E208</f>
        <v>0</v>
      </c>
      <c r="F31" s="1045">
        <f>+'CONT EXECUTIE  '!F208</f>
        <v>0</v>
      </c>
      <c r="G31" s="1046"/>
      <c r="H31" s="1101">
        <f t="shared" si="17"/>
        <v>0</v>
      </c>
      <c r="I31" s="1046"/>
      <c r="J31" s="1046"/>
      <c r="K31" s="2494"/>
      <c r="L31" s="2494"/>
      <c r="M31" s="2494"/>
      <c r="N31" s="2494"/>
    </row>
    <row r="32" spans="1:16" s="1097" customFormat="1">
      <c r="A32" s="789" t="s">
        <v>1651</v>
      </c>
      <c r="B32" s="1103">
        <f t="shared" ref="B32:J32" si="18">+B33+B36+B39+B42</f>
        <v>14241800</v>
      </c>
      <c r="C32" s="1103">
        <f t="shared" si="18"/>
        <v>12050710</v>
      </c>
      <c r="D32" s="1103">
        <f t="shared" si="18"/>
        <v>11912128</v>
      </c>
      <c r="E32" s="1103">
        <f t="shared" si="18"/>
        <v>15514360</v>
      </c>
      <c r="F32" s="1103">
        <f t="shared" si="18"/>
        <v>13636730</v>
      </c>
      <c r="G32" s="1103">
        <f t="shared" si="18"/>
        <v>13636730</v>
      </c>
      <c r="H32" s="1103">
        <f t="shared" si="18"/>
        <v>13635550</v>
      </c>
      <c r="I32" s="1103">
        <f t="shared" si="18"/>
        <v>55701</v>
      </c>
      <c r="J32" s="1103">
        <f t="shared" si="18"/>
        <v>13579849</v>
      </c>
      <c r="K32" s="2493"/>
      <c r="L32" s="2493"/>
      <c r="M32" s="2493"/>
      <c r="N32" s="2493"/>
    </row>
    <row r="33" spans="1:16" s="785" customFormat="1">
      <c r="A33" s="1106" t="s">
        <v>2456</v>
      </c>
      <c r="B33" s="1045">
        <f>+B34+B35</f>
        <v>13001800</v>
      </c>
      <c r="C33" s="1045">
        <f t="shared" ref="C33:J33" si="19">+C34+C35</f>
        <v>11150550</v>
      </c>
      <c r="D33" s="1045">
        <f t="shared" si="19"/>
        <v>11043639</v>
      </c>
      <c r="E33" s="1045">
        <f t="shared" si="19"/>
        <v>14368510</v>
      </c>
      <c r="F33" s="1045">
        <f t="shared" si="19"/>
        <v>12653350</v>
      </c>
      <c r="G33" s="1045">
        <f t="shared" si="19"/>
        <v>12653350</v>
      </c>
      <c r="H33" s="1045">
        <f t="shared" si="19"/>
        <v>12652305</v>
      </c>
      <c r="I33" s="1045">
        <f t="shared" si="19"/>
        <v>11120</v>
      </c>
      <c r="J33" s="1045">
        <f t="shared" si="19"/>
        <v>12641185</v>
      </c>
      <c r="K33" s="2496"/>
      <c r="L33" s="2496"/>
      <c r="M33" s="2496"/>
      <c r="N33" s="2494"/>
    </row>
    <row r="34" spans="1:16" s="785" customFormat="1">
      <c r="A34" s="2479" t="s">
        <v>1539</v>
      </c>
      <c r="B34" s="1045">
        <f>+'CONT EXECUTIE  '!C165</f>
        <v>13001800</v>
      </c>
      <c r="C34" s="1045">
        <f>+'CONT EXECUTIE  '!D165</f>
        <v>11150550</v>
      </c>
      <c r="D34" s="1046">
        <v>11043639</v>
      </c>
      <c r="E34" s="1045">
        <f>+'CONT EXECUTIE  '!E165</f>
        <v>14368510</v>
      </c>
      <c r="F34" s="1045">
        <f>+'CONT EXECUTIE  '!F165</f>
        <v>12653350</v>
      </c>
      <c r="G34" s="1046">
        <v>12653350</v>
      </c>
      <c r="H34" s="1101">
        <f t="shared" ref="H34:H35" si="20">+I34+J34</f>
        <v>12652305</v>
      </c>
      <c r="I34" s="1046">
        <v>11120</v>
      </c>
      <c r="J34" s="1046">
        <v>12641185</v>
      </c>
      <c r="K34" s="2496"/>
      <c r="L34" s="2496"/>
      <c r="M34" s="2496"/>
      <c r="N34" s="2494"/>
    </row>
    <row r="35" spans="1:16" s="785" customFormat="1" ht="51">
      <c r="A35" s="2479" t="s">
        <v>2457</v>
      </c>
      <c r="B35" s="1045">
        <f>+'CONT EXECUTIE  '!C166</f>
        <v>0</v>
      </c>
      <c r="C35" s="1045">
        <f>+'CONT EXECUTIE  '!D166</f>
        <v>0</v>
      </c>
      <c r="D35" s="1046"/>
      <c r="E35" s="1045">
        <f>+'CONT EXECUTIE  '!E166</f>
        <v>0</v>
      </c>
      <c r="F35" s="1045">
        <f>+'CONT EXECUTIE  '!F166</f>
        <v>0</v>
      </c>
      <c r="G35" s="1046"/>
      <c r="H35" s="1101">
        <f t="shared" si="20"/>
        <v>0</v>
      </c>
      <c r="I35" s="1046"/>
      <c r="J35" s="1046"/>
      <c r="K35" s="2496"/>
      <c r="L35" s="2496"/>
      <c r="M35" s="2496"/>
      <c r="N35" s="2494"/>
    </row>
    <row r="36" spans="1:16" s="785" customFormat="1" ht="14.25" customHeight="1">
      <c r="A36" s="1106" t="s">
        <v>2461</v>
      </c>
      <c r="B36" s="1045">
        <f>+B37+B38</f>
        <v>1066290</v>
      </c>
      <c r="C36" s="1045">
        <f t="shared" ref="C36:J36" si="21">+C37+C38</f>
        <v>805160</v>
      </c>
      <c r="D36" s="1045">
        <f t="shared" si="21"/>
        <v>793142</v>
      </c>
      <c r="E36" s="1045">
        <f t="shared" si="21"/>
        <v>1057320</v>
      </c>
      <c r="F36" s="1045">
        <f t="shared" si="21"/>
        <v>938700</v>
      </c>
      <c r="G36" s="1045">
        <f t="shared" si="21"/>
        <v>938700</v>
      </c>
      <c r="H36" s="1045">
        <f t="shared" si="21"/>
        <v>938664</v>
      </c>
      <c r="I36" s="1045">
        <f t="shared" si="21"/>
        <v>0</v>
      </c>
      <c r="J36" s="1045">
        <f t="shared" si="21"/>
        <v>938664</v>
      </c>
      <c r="K36" s="2494"/>
      <c r="L36" s="2494"/>
      <c r="M36" s="2494"/>
      <c r="N36" s="2494"/>
    </row>
    <row r="37" spans="1:16" s="785" customFormat="1" ht="14.25" customHeight="1">
      <c r="A37" s="2479" t="s">
        <v>1539</v>
      </c>
      <c r="B37" s="1045">
        <f>+'CONT EXECUTIE  '!C193</f>
        <v>1066290</v>
      </c>
      <c r="C37" s="1045">
        <f>+'CONT EXECUTIE  '!D193</f>
        <v>805160</v>
      </c>
      <c r="D37" s="1046">
        <v>793142</v>
      </c>
      <c r="E37" s="1045">
        <f>+'CONT EXECUTIE  '!E193</f>
        <v>1057320</v>
      </c>
      <c r="F37" s="1045">
        <f>+'CONT EXECUTIE  '!F193</f>
        <v>938700</v>
      </c>
      <c r="G37" s="1046">
        <v>938700</v>
      </c>
      <c r="H37" s="1101">
        <f t="shared" ref="H37:H38" si="22">+I37+J37</f>
        <v>938664</v>
      </c>
      <c r="I37" s="1046"/>
      <c r="J37" s="1046">
        <v>938664</v>
      </c>
      <c r="K37" s="2494"/>
      <c r="L37" s="2494"/>
      <c r="M37" s="2494"/>
      <c r="N37" s="2494"/>
    </row>
    <row r="38" spans="1:16" s="785" customFormat="1" ht="51">
      <c r="A38" s="2479" t="s">
        <v>2457</v>
      </c>
      <c r="B38" s="1045">
        <f>+'CONT EXECUTIE  '!C194</f>
        <v>0</v>
      </c>
      <c r="C38" s="1045">
        <f>+'CONT EXECUTIE  '!D194</f>
        <v>0</v>
      </c>
      <c r="D38" s="1046"/>
      <c r="E38" s="1045">
        <f>+'CONT EXECUTIE  '!E194</f>
        <v>0</v>
      </c>
      <c r="F38" s="1045">
        <f>+'CONT EXECUTIE  '!F194</f>
        <v>0</v>
      </c>
      <c r="G38" s="1046"/>
      <c r="H38" s="1101">
        <f t="shared" si="22"/>
        <v>0</v>
      </c>
      <c r="I38" s="1046"/>
      <c r="J38" s="1046"/>
      <c r="K38" s="2494"/>
      <c r="L38" s="2494"/>
      <c r="M38" s="2494"/>
      <c r="N38" s="2494"/>
    </row>
    <row r="39" spans="1:16" s="785" customFormat="1" ht="26.25" customHeight="1">
      <c r="A39" s="1104" t="s">
        <v>2464</v>
      </c>
      <c r="B39" s="1045">
        <f>+B40+B41</f>
        <v>0</v>
      </c>
      <c r="C39" s="1045">
        <f t="shared" ref="C39:J39" si="23">+C40+C41</f>
        <v>0</v>
      </c>
      <c r="D39" s="1045">
        <f t="shared" si="23"/>
        <v>0</v>
      </c>
      <c r="E39" s="1045">
        <f t="shared" si="23"/>
        <v>0</v>
      </c>
      <c r="F39" s="1045">
        <f t="shared" si="23"/>
        <v>0</v>
      </c>
      <c r="G39" s="1045">
        <f t="shared" si="23"/>
        <v>0</v>
      </c>
      <c r="H39" s="1045">
        <f t="shared" si="23"/>
        <v>0</v>
      </c>
      <c r="I39" s="1045">
        <f t="shared" si="23"/>
        <v>0</v>
      </c>
      <c r="J39" s="1045">
        <f t="shared" si="23"/>
        <v>0</v>
      </c>
      <c r="K39" s="2492">
        <f>IF(B39='CONT EXECUTIE  '!C253,0,"eroare")</f>
        <v>0</v>
      </c>
      <c r="L39" s="2492">
        <f>IF(E39='CONT EXECUTIE  '!E253,0,"eroare")</f>
        <v>0</v>
      </c>
      <c r="M39" s="2492">
        <f>IF(F39='CONT EXECUTIE  '!F253,0,"eroare")</f>
        <v>0</v>
      </c>
      <c r="N39" s="2492">
        <f>IF(H39=PLATI!C230,0,"eroare")</f>
        <v>0</v>
      </c>
      <c r="O39" s="798"/>
      <c r="P39" s="798"/>
    </row>
    <row r="40" spans="1:16" s="785" customFormat="1" ht="15">
      <c r="A40" s="2479" t="s">
        <v>1539</v>
      </c>
      <c r="B40" s="1045">
        <f>+'CONT EXECUTIE  '!C254</f>
        <v>0</v>
      </c>
      <c r="C40" s="1045">
        <f>+'CONT EXECUTIE  '!D254</f>
        <v>0</v>
      </c>
      <c r="D40" s="1046"/>
      <c r="E40" s="1045">
        <f>+'CONT EXECUTIE  '!E254</f>
        <v>0</v>
      </c>
      <c r="F40" s="1045">
        <f>+'CONT EXECUTIE  '!F254</f>
        <v>0</v>
      </c>
      <c r="G40" s="1046"/>
      <c r="H40" s="1101">
        <f t="shared" ref="H40:H41" si="24">+I40+J40</f>
        <v>0</v>
      </c>
      <c r="I40" s="1046"/>
      <c r="J40" s="1046"/>
      <c r="K40" s="2499">
        <f>IF(B40='CONT EXECUTIE  '!C254,0,"eroare")</f>
        <v>0</v>
      </c>
      <c r="L40" s="2499">
        <f>IF(E40='CONT EXECUTIE  '!E254,0,"eroare")</f>
        <v>0</v>
      </c>
      <c r="M40" s="2499">
        <f>IF(F40='CONT EXECUTIE  '!F254,0,"eroare")</f>
        <v>0</v>
      </c>
      <c r="N40" s="2499">
        <f>IF(H40=PLATI!C231,0,"eroare")</f>
        <v>0</v>
      </c>
      <c r="O40" s="798"/>
      <c r="P40" s="798"/>
    </row>
    <row r="41" spans="1:16" s="785" customFormat="1" ht="51.75">
      <c r="A41" s="2479" t="s">
        <v>2457</v>
      </c>
      <c r="B41" s="1045">
        <f>+'CONT EXECUTIE  '!C255</f>
        <v>0</v>
      </c>
      <c r="C41" s="1045">
        <f>+'CONT EXECUTIE  '!D255</f>
        <v>0</v>
      </c>
      <c r="D41" s="1046"/>
      <c r="E41" s="1045">
        <f>+'CONT EXECUTIE  '!E255</f>
        <v>0</v>
      </c>
      <c r="F41" s="1045">
        <f>+'CONT EXECUTIE  '!F255</f>
        <v>0</v>
      </c>
      <c r="G41" s="1046"/>
      <c r="H41" s="1101">
        <f t="shared" si="24"/>
        <v>0</v>
      </c>
      <c r="I41" s="1046"/>
      <c r="J41" s="1046"/>
      <c r="K41" s="2499">
        <f>IF(B41='CONT EXECUTIE  '!C255,0,"eroare")</f>
        <v>0</v>
      </c>
      <c r="L41" s="2499">
        <f>IF(E41='CONT EXECUTIE  '!E255,0,"eroare")</f>
        <v>0</v>
      </c>
      <c r="M41" s="2499">
        <f>IF(F41='CONT EXECUTIE  '!F255,0,"eroare")</f>
        <v>0</v>
      </c>
      <c r="N41" s="2499">
        <f>IF(H41=PLATI!C232,0,"eroare")</f>
        <v>0</v>
      </c>
      <c r="O41" s="798"/>
      <c r="P41" s="798"/>
    </row>
    <row r="42" spans="1:16" s="785" customFormat="1" ht="38.25">
      <c r="A42" s="1104" t="s">
        <v>2463</v>
      </c>
      <c r="B42" s="1045">
        <f>+B43+B44</f>
        <v>173710</v>
      </c>
      <c r="C42" s="1045">
        <f t="shared" ref="C42:J42" si="25">+C43+C44</f>
        <v>95000</v>
      </c>
      <c r="D42" s="1045">
        <f t="shared" si="25"/>
        <v>75347</v>
      </c>
      <c r="E42" s="1045">
        <f t="shared" si="25"/>
        <v>88530</v>
      </c>
      <c r="F42" s="1045">
        <f t="shared" si="25"/>
        <v>44680</v>
      </c>
      <c r="G42" s="1045">
        <f t="shared" si="25"/>
        <v>44680</v>
      </c>
      <c r="H42" s="1045">
        <f t="shared" si="25"/>
        <v>44581</v>
      </c>
      <c r="I42" s="1045">
        <f t="shared" si="25"/>
        <v>44581</v>
      </c>
      <c r="J42" s="1045">
        <f t="shared" si="25"/>
        <v>0</v>
      </c>
      <c r="K42" s="2494"/>
      <c r="L42" s="2494"/>
      <c r="M42" s="2494"/>
      <c r="N42" s="2494"/>
    </row>
    <row r="43" spans="1:16" s="785" customFormat="1">
      <c r="A43" s="2479" t="s">
        <v>1539</v>
      </c>
      <c r="B43" s="1045">
        <f>+'CONT EXECUTIE  '!C196</f>
        <v>173710</v>
      </c>
      <c r="C43" s="1045">
        <f>+'CONT EXECUTIE  '!D196</f>
        <v>95000</v>
      </c>
      <c r="D43" s="1046">
        <v>75347</v>
      </c>
      <c r="E43" s="1045">
        <f>+'CONT EXECUTIE  '!E196</f>
        <v>88530</v>
      </c>
      <c r="F43" s="1045">
        <f>+'CONT EXECUTIE  '!F196</f>
        <v>44680</v>
      </c>
      <c r="G43" s="1046">
        <v>44680</v>
      </c>
      <c r="H43" s="1101">
        <f t="shared" ref="H43:H44" si="26">+I43+J43</f>
        <v>44581</v>
      </c>
      <c r="I43" s="1046">
        <v>44581</v>
      </c>
      <c r="J43" s="1046"/>
      <c r="K43" s="2494"/>
      <c r="L43" s="2494"/>
      <c r="M43" s="2494"/>
      <c r="N43" s="2494"/>
    </row>
    <row r="44" spans="1:16" s="785" customFormat="1" ht="51">
      <c r="A44" s="2479" t="s">
        <v>2457</v>
      </c>
      <c r="B44" s="1045">
        <f>+'CONT EXECUTIE  '!C197</f>
        <v>0</v>
      </c>
      <c r="C44" s="1045">
        <f>+'CONT EXECUTIE  '!D197</f>
        <v>0</v>
      </c>
      <c r="D44" s="1046"/>
      <c r="E44" s="1045">
        <f>+'CONT EXECUTIE  '!E197</f>
        <v>0</v>
      </c>
      <c r="F44" s="1045">
        <f>+'CONT EXECUTIE  '!F197</f>
        <v>0</v>
      </c>
      <c r="G44" s="1046"/>
      <c r="H44" s="1101">
        <f t="shared" si="26"/>
        <v>0</v>
      </c>
      <c r="I44" s="1046"/>
      <c r="J44" s="1046"/>
      <c r="K44" s="2494"/>
      <c r="L44" s="2494"/>
      <c r="M44" s="2494"/>
      <c r="N44" s="2494"/>
    </row>
    <row r="45" spans="1:16" s="1097" customFormat="1" ht="15.75" customHeight="1">
      <c r="A45" s="790" t="s">
        <v>1249</v>
      </c>
      <c r="B45" s="1103">
        <f>B46+B50+B51+B52+B55+B58+B59</f>
        <v>9595050</v>
      </c>
      <c r="C45" s="1103">
        <f t="shared" ref="C45:J45" si="27">C46+C50+C51+C52+C55+C58+C59</f>
        <v>7928590</v>
      </c>
      <c r="D45" s="1103">
        <f t="shared" si="27"/>
        <v>7172578</v>
      </c>
      <c r="E45" s="1103">
        <f t="shared" si="27"/>
        <v>8911980</v>
      </c>
      <c r="F45" s="1103">
        <f t="shared" si="27"/>
        <v>7792760</v>
      </c>
      <c r="G45" s="1103">
        <f t="shared" si="27"/>
        <v>7792760</v>
      </c>
      <c r="H45" s="1103">
        <f t="shared" si="27"/>
        <v>7791653</v>
      </c>
      <c r="I45" s="1103">
        <f t="shared" si="27"/>
        <v>2618490</v>
      </c>
      <c r="J45" s="1103">
        <f t="shared" si="27"/>
        <v>5173163</v>
      </c>
      <c r="K45" s="2493"/>
      <c r="L45" s="2493"/>
      <c r="M45" s="2493"/>
      <c r="N45" s="2493"/>
    </row>
    <row r="46" spans="1:16" s="2481" customFormat="1" ht="15.75" customHeight="1">
      <c r="A46" s="2482" t="s">
        <v>2462</v>
      </c>
      <c r="B46" s="2478">
        <f>+B47+B48+B49</f>
        <v>9595050</v>
      </c>
      <c r="C46" s="2478">
        <f t="shared" ref="C46:J46" si="28">+C47+C48+C49</f>
        <v>7928590</v>
      </c>
      <c r="D46" s="2478">
        <f t="shared" si="28"/>
        <v>7172578</v>
      </c>
      <c r="E46" s="2478">
        <f t="shared" si="28"/>
        <v>8911980</v>
      </c>
      <c r="F46" s="2478">
        <f t="shared" si="28"/>
        <v>7792760</v>
      </c>
      <c r="G46" s="2478">
        <f t="shared" si="28"/>
        <v>7792760</v>
      </c>
      <c r="H46" s="2478">
        <f t="shared" si="28"/>
        <v>7791653</v>
      </c>
      <c r="I46" s="2478">
        <f t="shared" si="28"/>
        <v>2618490</v>
      </c>
      <c r="J46" s="2478">
        <f t="shared" si="28"/>
        <v>5173163</v>
      </c>
      <c r="K46" s="2495"/>
      <c r="L46" s="2495"/>
      <c r="M46" s="2495"/>
      <c r="N46" s="2495"/>
    </row>
    <row r="47" spans="1:16" s="785" customFormat="1">
      <c r="A47" s="2479" t="s">
        <v>1539</v>
      </c>
      <c r="B47" s="1045">
        <f>+'CONT EXECUTIE  '!C174</f>
        <v>9595050</v>
      </c>
      <c r="C47" s="1045">
        <f>+'CONT EXECUTIE  '!D174</f>
        <v>7928590</v>
      </c>
      <c r="D47" s="1046">
        <v>7172578</v>
      </c>
      <c r="E47" s="1045">
        <f>+'CONT EXECUTIE  '!E174</f>
        <v>8911980</v>
      </c>
      <c r="F47" s="1045">
        <f>+'CONT EXECUTIE  '!F174</f>
        <v>7792760</v>
      </c>
      <c r="G47" s="1046">
        <v>7792760</v>
      </c>
      <c r="H47" s="1101">
        <f t="shared" ref="H47:H49" si="29">+I47+J47</f>
        <v>7791653</v>
      </c>
      <c r="I47" s="1046">
        <v>2618490</v>
      </c>
      <c r="J47" s="1046">
        <v>5173163</v>
      </c>
      <c r="K47" s="2494"/>
      <c r="L47" s="2494"/>
      <c r="M47" s="2494"/>
      <c r="N47" s="2494"/>
    </row>
    <row r="48" spans="1:16" s="785" customFormat="1">
      <c r="A48" s="2479" t="s">
        <v>2476</v>
      </c>
      <c r="B48" s="1045">
        <f>+'CONT EXECUTIE  '!C175</f>
        <v>0</v>
      </c>
      <c r="C48" s="1045">
        <f>+'CONT EXECUTIE  '!D175</f>
        <v>0</v>
      </c>
      <c r="D48" s="1046"/>
      <c r="E48" s="1045">
        <f>+'CONT EXECUTIE  '!E175</f>
        <v>0</v>
      </c>
      <c r="F48" s="1045">
        <f>+'CONT EXECUTIE  '!F175</f>
        <v>0</v>
      </c>
      <c r="G48" s="1046"/>
      <c r="H48" s="1101">
        <f t="shared" ref="H48" si="30">+I48+J48</f>
        <v>0</v>
      </c>
      <c r="I48" s="1046"/>
      <c r="J48" s="1046"/>
      <c r="K48" s="2494"/>
      <c r="L48" s="2494"/>
      <c r="M48" s="2494"/>
      <c r="N48" s="2494"/>
    </row>
    <row r="49" spans="1:16" s="785" customFormat="1" ht="51">
      <c r="A49" s="2479" t="s">
        <v>2457</v>
      </c>
      <c r="B49" s="1045">
        <f>+'CONT EXECUTIE  '!C176</f>
        <v>0</v>
      </c>
      <c r="C49" s="1045">
        <f>+'CONT EXECUTIE  '!D176</f>
        <v>0</v>
      </c>
      <c r="D49" s="1046"/>
      <c r="E49" s="1045">
        <f>+'CONT EXECUTIE  '!E176</f>
        <v>0</v>
      </c>
      <c r="F49" s="1045">
        <f>+'CONT EXECUTIE  '!F176</f>
        <v>0</v>
      </c>
      <c r="G49" s="1046"/>
      <c r="H49" s="1101">
        <f t="shared" si="29"/>
        <v>0</v>
      </c>
      <c r="I49" s="1046"/>
      <c r="J49" s="1046"/>
      <c r="K49" s="2494"/>
      <c r="L49" s="2494"/>
      <c r="M49" s="2494"/>
      <c r="N49" s="2494"/>
    </row>
    <row r="50" spans="1:16" s="785" customFormat="1" ht="26.25">
      <c r="A50" s="791" t="s">
        <v>1561</v>
      </c>
      <c r="B50" s="1045">
        <f>+'CONT EXECUTIE  '!C249</f>
        <v>0</v>
      </c>
      <c r="C50" s="1045">
        <f>+'CONT EXECUTIE  '!D249</f>
        <v>0</v>
      </c>
      <c r="D50" s="1046"/>
      <c r="E50" s="1045">
        <f>+'CONT EXECUTIE  '!E249</f>
        <v>0</v>
      </c>
      <c r="F50" s="1045">
        <f>+'CONT EXECUTIE  '!F249</f>
        <v>0</v>
      </c>
      <c r="G50" s="1046"/>
      <c r="H50" s="1101">
        <f t="shared" ref="H50:H86" si="31">+I50+J50</f>
        <v>0</v>
      </c>
      <c r="I50" s="1046"/>
      <c r="J50" s="1046"/>
      <c r="K50" s="2499">
        <f>IF(B50='CONT EXECUTIE  '!C249,0,"eroare")</f>
        <v>0</v>
      </c>
      <c r="L50" s="2499">
        <f>IF(E50='CONT EXECUTIE  '!E249,0,"eroare")</f>
        <v>0</v>
      </c>
      <c r="M50" s="2499">
        <f>IF(F50='CONT EXECUTIE  '!F249,0,"eroare")</f>
        <v>0</v>
      </c>
      <c r="N50" s="2499">
        <f>IF(H50=PLATI!C226,0,"eroare")</f>
        <v>0</v>
      </c>
      <c r="O50" s="798"/>
      <c r="P50" s="798"/>
    </row>
    <row r="51" spans="1:16" s="785" customFormat="1" ht="25.5">
      <c r="A51" s="791" t="s">
        <v>1652</v>
      </c>
      <c r="B51" s="1045">
        <f>+'CONT EXECUTIE  '!C210</f>
        <v>0</v>
      </c>
      <c r="C51" s="1045">
        <f>+'CONT EXECUTIE  '!D210</f>
        <v>0</v>
      </c>
      <c r="D51" s="1046"/>
      <c r="E51" s="1045">
        <f>+'CONT EXECUTIE  '!E210</f>
        <v>0</v>
      </c>
      <c r="F51" s="1045">
        <f>+'CONT EXECUTIE  '!F210</f>
        <v>0</v>
      </c>
      <c r="G51" s="1046"/>
      <c r="H51" s="1101">
        <f t="shared" si="31"/>
        <v>0</v>
      </c>
      <c r="I51" s="1046"/>
      <c r="J51" s="1046"/>
      <c r="K51" s="2494"/>
      <c r="L51" s="2494"/>
      <c r="M51" s="2494"/>
      <c r="N51" s="2494"/>
    </row>
    <row r="52" spans="1:16" s="2481" customFormat="1" ht="38.25">
      <c r="A52" s="2482" t="s">
        <v>2465</v>
      </c>
      <c r="B52" s="2478">
        <f>+B53+B54</f>
        <v>0</v>
      </c>
      <c r="C52" s="2478">
        <f t="shared" ref="C52:J52" si="32">+C53+C54</f>
        <v>0</v>
      </c>
      <c r="D52" s="2478">
        <f t="shared" si="32"/>
        <v>0</v>
      </c>
      <c r="E52" s="2478">
        <f t="shared" si="32"/>
        <v>0</v>
      </c>
      <c r="F52" s="2478">
        <f t="shared" si="32"/>
        <v>0</v>
      </c>
      <c r="G52" s="2478">
        <f t="shared" si="32"/>
        <v>0</v>
      </c>
      <c r="H52" s="2478">
        <f t="shared" si="32"/>
        <v>0</v>
      </c>
      <c r="I52" s="2478">
        <f t="shared" si="32"/>
        <v>0</v>
      </c>
      <c r="J52" s="2478">
        <f t="shared" si="32"/>
        <v>0</v>
      </c>
      <c r="K52" s="2492">
        <f>IF(B52='CONT EXECUTIE  '!C275,0,"eroare")</f>
        <v>0</v>
      </c>
      <c r="L52" s="2492">
        <f>IF(E52='CONT EXECUTIE  '!E275,0,"eroare")</f>
        <v>0</v>
      </c>
      <c r="M52" s="2492">
        <f>IF(F52='CONT EXECUTIE  '!F275,0,"eroare")</f>
        <v>0</v>
      </c>
      <c r="N52" s="2492">
        <f>IF(H52=PLATI!C252,0,"eroare")</f>
        <v>0</v>
      </c>
      <c r="O52" s="2483"/>
      <c r="P52" s="2483"/>
    </row>
    <row r="53" spans="1:16" s="785" customFormat="1" ht="15">
      <c r="A53" s="2479" t="s">
        <v>1539</v>
      </c>
      <c r="B53" s="1045">
        <f>+'CONT EXECUTIE  '!C276</f>
        <v>0</v>
      </c>
      <c r="C53" s="1045">
        <f>+'CONT EXECUTIE  '!D276</f>
        <v>0</v>
      </c>
      <c r="D53" s="1046"/>
      <c r="E53" s="1045">
        <f>+'CONT EXECUTIE  '!E276</f>
        <v>0</v>
      </c>
      <c r="F53" s="1045">
        <f>+'CONT EXECUTIE  '!F276</f>
        <v>0</v>
      </c>
      <c r="G53" s="1046"/>
      <c r="H53" s="1101">
        <f t="shared" ref="H53:H54" si="33">+I53+J53</f>
        <v>0</v>
      </c>
      <c r="I53" s="1046"/>
      <c r="J53" s="1046"/>
      <c r="K53" s="2499">
        <f>IF(B53='CONT EXECUTIE  '!C276,0,"eroare")</f>
        <v>0</v>
      </c>
      <c r="L53" s="2499">
        <f>IF(E53='CONT EXECUTIE  '!E276,0,"eroare")</f>
        <v>0</v>
      </c>
      <c r="M53" s="2499">
        <f>IF(F53='CONT EXECUTIE  '!F276,0,"eroare")</f>
        <v>0</v>
      </c>
      <c r="N53" s="2499">
        <f>IF(H53=PLATI!C253,0,"eroare")</f>
        <v>0</v>
      </c>
      <c r="O53" s="798"/>
      <c r="P53" s="798"/>
    </row>
    <row r="54" spans="1:16" s="785" customFormat="1" ht="51.75">
      <c r="A54" s="2479" t="s">
        <v>2457</v>
      </c>
      <c r="B54" s="1045">
        <f>+'CONT EXECUTIE  '!C277</f>
        <v>0</v>
      </c>
      <c r="C54" s="1045">
        <f>+'CONT EXECUTIE  '!D277</f>
        <v>0</v>
      </c>
      <c r="D54" s="1046"/>
      <c r="E54" s="1045">
        <f>+'CONT EXECUTIE  '!E277</f>
        <v>0</v>
      </c>
      <c r="F54" s="1045">
        <f>+'CONT EXECUTIE  '!F277</f>
        <v>0</v>
      </c>
      <c r="G54" s="1046"/>
      <c r="H54" s="1101">
        <f t="shared" si="33"/>
        <v>0</v>
      </c>
      <c r="I54" s="1046"/>
      <c r="J54" s="1046"/>
      <c r="K54" s="2499">
        <f>IF(B54='CONT EXECUTIE  '!C277,0,"eroare")</f>
        <v>0</v>
      </c>
      <c r="L54" s="2499">
        <f>IF(E54='CONT EXECUTIE  '!E277,0,"eroare")</f>
        <v>0</v>
      </c>
      <c r="M54" s="2499">
        <f>IF(F54='CONT EXECUTIE  '!F277,0,"eroare")</f>
        <v>0</v>
      </c>
      <c r="N54" s="2499">
        <f>IF(H54=PLATI!C254,0,"eroare")</f>
        <v>0</v>
      </c>
      <c r="O54" s="798"/>
      <c r="P54" s="798"/>
    </row>
    <row r="55" spans="1:16" s="2481" customFormat="1" ht="14.25">
      <c r="A55" s="2482" t="s">
        <v>2466</v>
      </c>
      <c r="B55" s="2478">
        <f>+B56+B57</f>
        <v>0</v>
      </c>
      <c r="C55" s="2478">
        <f t="shared" ref="C55:J55" si="34">+C56+C57</f>
        <v>0</v>
      </c>
      <c r="D55" s="2478">
        <f t="shared" si="34"/>
        <v>0</v>
      </c>
      <c r="E55" s="2478">
        <f t="shared" si="34"/>
        <v>0</v>
      </c>
      <c r="F55" s="2478">
        <f t="shared" si="34"/>
        <v>0</v>
      </c>
      <c r="G55" s="2478">
        <f t="shared" si="34"/>
        <v>0</v>
      </c>
      <c r="H55" s="2478">
        <f t="shared" si="34"/>
        <v>0</v>
      </c>
      <c r="I55" s="2478">
        <f t="shared" si="34"/>
        <v>0</v>
      </c>
      <c r="J55" s="2478">
        <f t="shared" si="34"/>
        <v>0</v>
      </c>
      <c r="K55" s="2492">
        <f>IF(B55='CONT EXECUTIE  '!C281,0,"eroare")</f>
        <v>0</v>
      </c>
      <c r="L55" s="2492">
        <f>IF(E55='CONT EXECUTIE  '!E281,0,"eroare")</f>
        <v>0</v>
      </c>
      <c r="M55" s="2492">
        <f>IF(F55='CONT EXECUTIE  '!F281,0,"eroare")</f>
        <v>0</v>
      </c>
      <c r="N55" s="2492">
        <f>IF(H55=PLATI!C258,0,"eroare")</f>
        <v>0</v>
      </c>
      <c r="O55" s="2483"/>
      <c r="P55" s="2483"/>
    </row>
    <row r="56" spans="1:16" s="785" customFormat="1" ht="15">
      <c r="A56" s="2479" t="s">
        <v>1539</v>
      </c>
      <c r="B56" s="1045">
        <f>+'CONT EXECUTIE  '!C282</f>
        <v>0</v>
      </c>
      <c r="C56" s="1045">
        <f>+'CONT EXECUTIE  '!D282</f>
        <v>0</v>
      </c>
      <c r="D56" s="1369"/>
      <c r="E56" s="1045">
        <f>+'CONT EXECUTIE  '!E282</f>
        <v>0</v>
      </c>
      <c r="F56" s="1045">
        <f>+'CONT EXECUTIE  '!F282</f>
        <v>0</v>
      </c>
      <c r="G56" s="1046"/>
      <c r="H56" s="1101">
        <f t="shared" ref="H56:H57" si="35">+I56+J56</f>
        <v>0</v>
      </c>
      <c r="I56" s="1046"/>
      <c r="J56" s="1046"/>
      <c r="K56" s="2499">
        <f>IF(B56='CONT EXECUTIE  '!C282,0,"eroare")</f>
        <v>0</v>
      </c>
      <c r="L56" s="2499">
        <f>IF(E56='CONT EXECUTIE  '!E282,0,"eroare")</f>
        <v>0</v>
      </c>
      <c r="M56" s="2499">
        <f>IF(F56='CONT EXECUTIE  '!F282,0,"eroare")</f>
        <v>0</v>
      </c>
      <c r="N56" s="2499">
        <f>IF(H56=PLATI!C259,0,"eroare")</f>
        <v>0</v>
      </c>
      <c r="O56" s="798"/>
      <c r="P56" s="798"/>
    </row>
    <row r="57" spans="1:16" s="785" customFormat="1" ht="51.75">
      <c r="A57" s="2479" t="s">
        <v>2457</v>
      </c>
      <c r="B57" s="1045">
        <f>+'CONT EXECUTIE  '!C283</f>
        <v>0</v>
      </c>
      <c r="C57" s="1045">
        <f>+'CONT EXECUTIE  '!D283</f>
        <v>0</v>
      </c>
      <c r="D57" s="1369"/>
      <c r="E57" s="1045">
        <f>+'CONT EXECUTIE  '!E283</f>
        <v>0</v>
      </c>
      <c r="F57" s="1045">
        <f>+'CONT EXECUTIE  '!F283</f>
        <v>0</v>
      </c>
      <c r="G57" s="1046"/>
      <c r="H57" s="1101">
        <f t="shared" si="35"/>
        <v>0</v>
      </c>
      <c r="I57" s="1046"/>
      <c r="J57" s="1046"/>
      <c r="K57" s="2499">
        <f>IF(B57='CONT EXECUTIE  '!C283,0,"eroare")</f>
        <v>0</v>
      </c>
      <c r="L57" s="2499">
        <f>IF(E57='CONT EXECUTIE  '!E283,0,"eroare")</f>
        <v>0</v>
      </c>
      <c r="M57" s="2499">
        <f>IF(F57='CONT EXECUTIE  '!F283,0,"eroare")</f>
        <v>0</v>
      </c>
      <c r="N57" s="2499">
        <f>IF(H57=PLATI!C260,0,"eroare")</f>
        <v>0</v>
      </c>
      <c r="O57" s="798"/>
      <c r="P57" s="798"/>
    </row>
    <row r="58" spans="1:16" s="785" customFormat="1" ht="26.25">
      <c r="A58" s="791" t="s">
        <v>785</v>
      </c>
      <c r="B58" s="1045">
        <f>+'CONT EXECUTIE  '!C256</f>
        <v>0</v>
      </c>
      <c r="C58" s="1045">
        <f>+'CONT EXECUTIE  '!D256</f>
        <v>0</v>
      </c>
      <c r="D58" s="1369"/>
      <c r="E58" s="1045">
        <f>+'CONT EXECUTIE  '!E256</f>
        <v>0</v>
      </c>
      <c r="F58" s="1045">
        <f>+'CONT EXECUTIE  '!F256</f>
        <v>0</v>
      </c>
      <c r="G58" s="1046"/>
      <c r="H58" s="1101">
        <f t="shared" si="31"/>
        <v>0</v>
      </c>
      <c r="I58" s="1046"/>
      <c r="J58" s="1046"/>
      <c r="K58" s="2499">
        <f>IF(B58='CONT EXECUTIE  '!C256,0,"eroare")</f>
        <v>0</v>
      </c>
      <c r="L58" s="2499">
        <f>IF(E58='CONT EXECUTIE  '!E256,0,"eroare")</f>
        <v>0</v>
      </c>
      <c r="M58" s="2499">
        <f>IF(F58='CONT EXECUTIE  '!F256,0,"eroare")</f>
        <v>0</v>
      </c>
      <c r="N58" s="2499">
        <f>IF(H58=PLATI!C233,0,"eroare")</f>
        <v>0</v>
      </c>
      <c r="O58" s="798"/>
      <c r="P58" s="798"/>
    </row>
    <row r="59" spans="1:16" s="785" customFormat="1" ht="15">
      <c r="A59" s="3240" t="s">
        <v>2587</v>
      </c>
      <c r="B59" s="3234">
        <f>+'CONT EXECUTIE  '!C258</f>
        <v>0</v>
      </c>
      <c r="C59" s="3234">
        <f>+'CONT EXECUTIE  '!D258</f>
        <v>0</v>
      </c>
      <c r="D59" s="3239"/>
      <c r="E59" s="3234">
        <f>+'CONT EXECUTIE  '!E258</f>
        <v>0</v>
      </c>
      <c r="F59" s="3234">
        <f>+'CONT EXECUTIE  '!F258</f>
        <v>0</v>
      </c>
      <c r="G59" s="3235"/>
      <c r="H59" s="3236">
        <f>+I59+J59</f>
        <v>0</v>
      </c>
      <c r="I59" s="3235"/>
      <c r="J59" s="3235"/>
      <c r="K59" s="2499"/>
      <c r="L59" s="2499"/>
      <c r="M59" s="2499"/>
      <c r="N59" s="2499"/>
      <c r="O59" s="798"/>
      <c r="P59" s="798"/>
    </row>
    <row r="60" spans="1:16" ht="14.25" customHeight="1">
      <c r="A60" s="792" t="s">
        <v>786</v>
      </c>
      <c r="B60" s="1044">
        <f t="shared" ref="B60:J60" si="36">+B61+B64</f>
        <v>1970770</v>
      </c>
      <c r="C60" s="1044">
        <f t="shared" si="36"/>
        <v>1970770</v>
      </c>
      <c r="D60" s="1044">
        <f t="shared" si="36"/>
        <v>1755595</v>
      </c>
      <c r="E60" s="1044">
        <f t="shared" si="36"/>
        <v>1551590</v>
      </c>
      <c r="F60" s="1044">
        <f t="shared" si="36"/>
        <v>1406020</v>
      </c>
      <c r="G60" s="1044">
        <f t="shared" si="36"/>
        <v>1406020</v>
      </c>
      <c r="H60" s="1044">
        <f t="shared" si="36"/>
        <v>1405019</v>
      </c>
      <c r="I60" s="1044">
        <f t="shared" si="36"/>
        <v>0</v>
      </c>
      <c r="J60" s="1044">
        <f t="shared" si="36"/>
        <v>1405019</v>
      </c>
      <c r="K60" s="2497"/>
      <c r="L60" s="2497"/>
      <c r="M60" s="2497"/>
      <c r="N60" s="2497"/>
    </row>
    <row r="61" spans="1:16" s="2481" customFormat="1" ht="13.5" customHeight="1">
      <c r="A61" s="1104" t="s">
        <v>2456</v>
      </c>
      <c r="B61" s="2478">
        <f>+B62+B63</f>
        <v>1970770</v>
      </c>
      <c r="C61" s="2478">
        <f t="shared" ref="C61:J61" si="37">+C62+C63</f>
        <v>1970770</v>
      </c>
      <c r="D61" s="2478">
        <f t="shared" si="37"/>
        <v>1755595</v>
      </c>
      <c r="E61" s="2478">
        <f t="shared" si="37"/>
        <v>1551590</v>
      </c>
      <c r="F61" s="2478">
        <f t="shared" si="37"/>
        <v>1406020</v>
      </c>
      <c r="G61" s="2478">
        <f t="shared" si="37"/>
        <v>1406020</v>
      </c>
      <c r="H61" s="2478">
        <f t="shared" si="37"/>
        <v>1405019</v>
      </c>
      <c r="I61" s="2478">
        <f t="shared" si="37"/>
        <v>0</v>
      </c>
      <c r="J61" s="2478">
        <f t="shared" si="37"/>
        <v>1405019</v>
      </c>
      <c r="K61" s="2495"/>
      <c r="L61" s="2495"/>
      <c r="M61" s="2495"/>
      <c r="N61" s="2495"/>
    </row>
    <row r="62" spans="1:16" s="785" customFormat="1" ht="13.5" customHeight="1">
      <c r="A62" s="2479" t="s">
        <v>1539</v>
      </c>
      <c r="B62" s="1045">
        <f>+'CONT EXECUTIE  '!C156</f>
        <v>1970770</v>
      </c>
      <c r="C62" s="1045">
        <f>+'CONT EXECUTIE  '!D156</f>
        <v>1970770</v>
      </c>
      <c r="D62" s="1046">
        <v>1755595</v>
      </c>
      <c r="E62" s="1045">
        <f>+'CONT EXECUTIE  '!E156</f>
        <v>1551590</v>
      </c>
      <c r="F62" s="1045">
        <f>+'CONT EXECUTIE  '!F156</f>
        <v>1406020</v>
      </c>
      <c r="G62" s="1046">
        <v>1406020</v>
      </c>
      <c r="H62" s="1101">
        <f t="shared" ref="H62:H63" si="38">+I62+J62</f>
        <v>1405019</v>
      </c>
      <c r="I62" s="1046"/>
      <c r="J62" s="1046">
        <v>1405019</v>
      </c>
      <c r="K62" s="2494"/>
      <c r="L62" s="2494"/>
      <c r="M62" s="2494"/>
      <c r="N62" s="2494"/>
    </row>
    <row r="63" spans="1:16" s="785" customFormat="1" ht="51">
      <c r="A63" s="2479" t="s">
        <v>2457</v>
      </c>
      <c r="B63" s="1045">
        <f>+'CONT EXECUTIE  '!C157</f>
        <v>0</v>
      </c>
      <c r="C63" s="1045">
        <f>+'CONT EXECUTIE  '!D157</f>
        <v>0</v>
      </c>
      <c r="D63" s="1046"/>
      <c r="E63" s="1045">
        <f>+'CONT EXECUTIE  '!E157</f>
        <v>0</v>
      </c>
      <c r="F63" s="1045">
        <f>+'CONT EXECUTIE  '!F157</f>
        <v>0</v>
      </c>
      <c r="G63" s="1046"/>
      <c r="H63" s="1101">
        <f t="shared" si="38"/>
        <v>0</v>
      </c>
      <c r="I63" s="1046"/>
      <c r="J63" s="1046"/>
      <c r="K63" s="2494"/>
      <c r="L63" s="2494"/>
      <c r="M63" s="2494"/>
      <c r="N63" s="2494"/>
    </row>
    <row r="64" spans="1:16" s="785" customFormat="1">
      <c r="A64" s="1104" t="s">
        <v>1647</v>
      </c>
      <c r="B64" s="1045">
        <f>+'CONT EXECUTIE  '!C205</f>
        <v>0</v>
      </c>
      <c r="C64" s="1045">
        <f>+'CONT EXECUTIE  '!D205</f>
        <v>0</v>
      </c>
      <c r="D64" s="1046"/>
      <c r="E64" s="1045">
        <f>+'CONT EXECUTIE  '!E205</f>
        <v>0</v>
      </c>
      <c r="F64" s="1045">
        <f>+'CONT EXECUTIE  '!F205</f>
        <v>0</v>
      </c>
      <c r="G64" s="1105"/>
      <c r="H64" s="1101">
        <f t="shared" si="31"/>
        <v>0</v>
      </c>
      <c r="I64" s="1105"/>
      <c r="J64" s="1105"/>
      <c r="K64" s="2494"/>
      <c r="L64" s="2494"/>
      <c r="M64" s="2494"/>
      <c r="N64" s="2494"/>
    </row>
    <row r="65" spans="1:14" s="1097" customFormat="1">
      <c r="A65" s="792" t="s">
        <v>2467</v>
      </c>
      <c r="B65" s="1103">
        <f>+B66+B67</f>
        <v>0</v>
      </c>
      <c r="C65" s="1103">
        <f t="shared" ref="C65:J65" si="39">+C66+C67</f>
        <v>0</v>
      </c>
      <c r="D65" s="1103">
        <f t="shared" si="39"/>
        <v>0</v>
      </c>
      <c r="E65" s="1103">
        <f t="shared" si="39"/>
        <v>0</v>
      </c>
      <c r="F65" s="1103">
        <f t="shared" si="39"/>
        <v>0</v>
      </c>
      <c r="G65" s="1103">
        <f t="shared" si="39"/>
        <v>0</v>
      </c>
      <c r="H65" s="1103">
        <f t="shared" si="39"/>
        <v>0</v>
      </c>
      <c r="I65" s="1103">
        <f t="shared" si="39"/>
        <v>0</v>
      </c>
      <c r="J65" s="1103">
        <f t="shared" si="39"/>
        <v>0</v>
      </c>
      <c r="K65" s="2498"/>
      <c r="L65" s="2498"/>
      <c r="M65" s="2493"/>
      <c r="N65" s="2493"/>
    </row>
    <row r="66" spans="1:14" s="1097" customFormat="1">
      <c r="A66" s="2479" t="s">
        <v>1539</v>
      </c>
      <c r="B66" s="1045">
        <f>+'CONT EXECUTIE  '!C159</f>
        <v>0</v>
      </c>
      <c r="C66" s="1045">
        <f>+'CONT EXECUTIE  '!D159</f>
        <v>0</v>
      </c>
      <c r="D66" s="1046"/>
      <c r="E66" s="1045">
        <f>+'CONT EXECUTIE  '!E159</f>
        <v>0</v>
      </c>
      <c r="F66" s="1045">
        <f>+'CONT EXECUTIE  '!F159</f>
        <v>0</v>
      </c>
      <c r="G66" s="1046"/>
      <c r="H66" s="1101">
        <f t="shared" ref="H66:H67" si="40">+I66+J66</f>
        <v>0</v>
      </c>
      <c r="I66" s="1046"/>
      <c r="J66" s="1046"/>
      <c r="K66" s="2498"/>
      <c r="L66" s="2498"/>
      <c r="M66" s="2493"/>
      <c r="N66" s="2493"/>
    </row>
    <row r="67" spans="1:14" s="1097" customFormat="1" ht="51">
      <c r="A67" s="2479" t="s">
        <v>2457</v>
      </c>
      <c r="B67" s="1045">
        <f>+'CONT EXECUTIE  '!C160</f>
        <v>0</v>
      </c>
      <c r="C67" s="1045">
        <f>+'CONT EXECUTIE  '!D160</f>
        <v>0</v>
      </c>
      <c r="D67" s="1046"/>
      <c r="E67" s="1045">
        <f>+'CONT EXECUTIE  '!E160</f>
        <v>0</v>
      </c>
      <c r="F67" s="1045">
        <f>+'CONT EXECUTIE  '!F160</f>
        <v>0</v>
      </c>
      <c r="G67" s="1046"/>
      <c r="H67" s="1101">
        <f t="shared" si="40"/>
        <v>0</v>
      </c>
      <c r="I67" s="1046"/>
      <c r="J67" s="1046"/>
      <c r="K67" s="2498"/>
      <c r="L67" s="2498"/>
      <c r="M67" s="2493"/>
      <c r="N67" s="2493"/>
    </row>
    <row r="68" spans="1:14" s="1097" customFormat="1" ht="26.25" customHeight="1">
      <c r="A68" s="792" t="s">
        <v>2468</v>
      </c>
      <c r="B68" s="1103">
        <f>+B69+B70</f>
        <v>723600</v>
      </c>
      <c r="C68" s="1103">
        <f t="shared" ref="C68:J68" si="41">+C69+C70</f>
        <v>582000</v>
      </c>
      <c r="D68" s="1103">
        <f t="shared" si="41"/>
        <v>344108</v>
      </c>
      <c r="E68" s="1103">
        <f t="shared" si="41"/>
        <v>848440</v>
      </c>
      <c r="F68" s="1103">
        <f t="shared" si="41"/>
        <v>847050</v>
      </c>
      <c r="G68" s="1103">
        <f t="shared" si="41"/>
        <v>847050</v>
      </c>
      <c r="H68" s="1103">
        <f t="shared" si="41"/>
        <v>847050</v>
      </c>
      <c r="I68" s="1103">
        <f t="shared" si="41"/>
        <v>847050</v>
      </c>
      <c r="J68" s="1103">
        <f t="shared" si="41"/>
        <v>0</v>
      </c>
      <c r="K68" s="2498"/>
      <c r="L68" s="2498"/>
      <c r="M68" s="2493"/>
      <c r="N68" s="2493"/>
    </row>
    <row r="69" spans="1:14" s="785" customFormat="1">
      <c r="A69" s="2479" t="s">
        <v>1539</v>
      </c>
      <c r="B69" s="1045">
        <f>+'CONT EXECUTIE  '!C162</f>
        <v>723600</v>
      </c>
      <c r="C69" s="1045">
        <f>+'CONT EXECUTIE  '!D162</f>
        <v>582000</v>
      </c>
      <c r="D69" s="1046">
        <v>344108</v>
      </c>
      <c r="E69" s="1045">
        <f>+'CONT EXECUTIE  '!E162</f>
        <v>848440</v>
      </c>
      <c r="F69" s="1045">
        <f>+'CONT EXECUTIE  '!F162</f>
        <v>847050</v>
      </c>
      <c r="G69" s="1046">
        <v>847050</v>
      </c>
      <c r="H69" s="1101">
        <f t="shared" ref="H69:H70" si="42">+I69+J69</f>
        <v>847050</v>
      </c>
      <c r="I69" s="1046">
        <v>847050</v>
      </c>
      <c r="J69" s="1046"/>
      <c r="K69" s="2496"/>
      <c r="L69" s="2496"/>
      <c r="M69" s="2494"/>
      <c r="N69" s="2494"/>
    </row>
    <row r="70" spans="1:14" s="785" customFormat="1" ht="51">
      <c r="A70" s="2479" t="s">
        <v>2457</v>
      </c>
      <c r="B70" s="1045">
        <f>+'CONT EXECUTIE  '!C163</f>
        <v>0</v>
      </c>
      <c r="C70" s="1045">
        <f>+'CONT EXECUTIE  '!D163</f>
        <v>0</v>
      </c>
      <c r="D70" s="1046"/>
      <c r="E70" s="1045">
        <f>+'CONT EXECUTIE  '!E163</f>
        <v>0</v>
      </c>
      <c r="F70" s="1045">
        <f>+'CONT EXECUTIE  '!F163</f>
        <v>0</v>
      </c>
      <c r="G70" s="1046"/>
      <c r="H70" s="1101">
        <f t="shared" si="42"/>
        <v>0</v>
      </c>
      <c r="I70" s="1046"/>
      <c r="J70" s="1046"/>
      <c r="K70" s="2496"/>
      <c r="L70" s="2496"/>
      <c r="M70" s="2494"/>
      <c r="N70" s="2494"/>
    </row>
    <row r="71" spans="1:14" s="1097" customFormat="1" ht="25.5">
      <c r="A71" s="792" t="s">
        <v>2469</v>
      </c>
      <c r="B71" s="1103">
        <f>+B72+B73</f>
        <v>175080</v>
      </c>
      <c r="C71" s="1103">
        <f t="shared" ref="C71:J71" si="43">+C72+C73</f>
        <v>155080</v>
      </c>
      <c r="D71" s="1103">
        <f t="shared" si="43"/>
        <v>140274</v>
      </c>
      <c r="E71" s="1103">
        <f t="shared" si="43"/>
        <v>185900</v>
      </c>
      <c r="F71" s="1103">
        <f t="shared" si="43"/>
        <v>162920</v>
      </c>
      <c r="G71" s="1103">
        <f t="shared" si="43"/>
        <v>162920</v>
      </c>
      <c r="H71" s="1103">
        <f t="shared" si="43"/>
        <v>162372</v>
      </c>
      <c r="I71" s="1103">
        <f t="shared" si="43"/>
        <v>0</v>
      </c>
      <c r="J71" s="1103">
        <f t="shared" si="43"/>
        <v>162372</v>
      </c>
      <c r="K71" s="2493"/>
      <c r="L71" s="2493"/>
      <c r="M71" s="2493"/>
      <c r="N71" s="2493"/>
    </row>
    <row r="72" spans="1:14" s="785" customFormat="1">
      <c r="A72" s="2479" t="s">
        <v>1539</v>
      </c>
      <c r="B72" s="1045">
        <f>+'CONT EXECUTIE  '!C171</f>
        <v>175080</v>
      </c>
      <c r="C72" s="1045">
        <f>+'CONT EXECUTIE  '!D171</f>
        <v>155080</v>
      </c>
      <c r="D72" s="1046">
        <v>140274</v>
      </c>
      <c r="E72" s="1045">
        <f>+'CONT EXECUTIE  '!E171</f>
        <v>185900</v>
      </c>
      <c r="F72" s="1045">
        <f>+'CONT EXECUTIE  '!F171</f>
        <v>162920</v>
      </c>
      <c r="G72" s="1100">
        <v>162920</v>
      </c>
      <c r="H72" s="1101">
        <f t="shared" ref="H72:H73" si="44">+I72+J72</f>
        <v>162372</v>
      </c>
      <c r="I72" s="1100"/>
      <c r="J72" s="1100">
        <v>162372</v>
      </c>
      <c r="K72" s="2494"/>
      <c r="L72" s="2494"/>
      <c r="M72" s="2494"/>
      <c r="N72" s="2494"/>
    </row>
    <row r="73" spans="1:14" s="785" customFormat="1" ht="51">
      <c r="A73" s="2479" t="s">
        <v>2457</v>
      </c>
      <c r="B73" s="1045">
        <f>+'CONT EXECUTIE  '!C172</f>
        <v>0</v>
      </c>
      <c r="C73" s="1045">
        <f>+'CONT EXECUTIE  '!D172</f>
        <v>0</v>
      </c>
      <c r="D73" s="1046"/>
      <c r="E73" s="1045">
        <f>+'CONT EXECUTIE  '!E172</f>
        <v>0</v>
      </c>
      <c r="F73" s="1045">
        <f>+'CONT EXECUTIE  '!F172</f>
        <v>0</v>
      </c>
      <c r="G73" s="1100"/>
      <c r="H73" s="1101">
        <f t="shared" si="44"/>
        <v>0</v>
      </c>
      <c r="I73" s="1100"/>
      <c r="J73" s="1100"/>
      <c r="K73" s="2494"/>
      <c r="L73" s="2494"/>
      <c r="M73" s="2494"/>
      <c r="N73" s="2494"/>
    </row>
    <row r="74" spans="1:14" s="1097" customFormat="1" ht="25.5">
      <c r="A74" s="792" t="s">
        <v>1258</v>
      </c>
      <c r="B74" s="1103">
        <f>+B75+B76</f>
        <v>0</v>
      </c>
      <c r="C74" s="1103">
        <f t="shared" ref="C74:J74" si="45">+C75+C76</f>
        <v>0</v>
      </c>
      <c r="D74" s="1103">
        <f t="shared" si="45"/>
        <v>0</v>
      </c>
      <c r="E74" s="1103">
        <f t="shared" si="45"/>
        <v>0</v>
      </c>
      <c r="F74" s="1103">
        <f t="shared" si="45"/>
        <v>0</v>
      </c>
      <c r="G74" s="1103">
        <f t="shared" si="45"/>
        <v>0</v>
      </c>
      <c r="H74" s="1103">
        <f t="shared" si="45"/>
        <v>0</v>
      </c>
      <c r="I74" s="1103">
        <f t="shared" si="45"/>
        <v>0</v>
      </c>
      <c r="J74" s="1103">
        <f t="shared" si="45"/>
        <v>0</v>
      </c>
      <c r="K74" s="2493"/>
      <c r="L74" s="2493"/>
      <c r="M74" s="2493"/>
      <c r="N74" s="2493"/>
    </row>
    <row r="75" spans="1:14" s="1097" customFormat="1">
      <c r="A75" s="2479" t="s">
        <v>1539</v>
      </c>
      <c r="B75" s="1103">
        <f>+'CONT EXECUTIE  '!C202</f>
        <v>0</v>
      </c>
      <c r="C75" s="1103">
        <f>+'CONT EXECUTIE  '!D202</f>
        <v>0</v>
      </c>
      <c r="D75" s="3847"/>
      <c r="E75" s="1103">
        <f>+'CONT EXECUTIE  '!E202</f>
        <v>0</v>
      </c>
      <c r="F75" s="1103">
        <f>+'CONT EXECUTIE  '!F202</f>
        <v>0</v>
      </c>
      <c r="G75" s="3848"/>
      <c r="H75" s="3849">
        <f>+I75+J75</f>
        <v>0</v>
      </c>
      <c r="I75" s="3848"/>
      <c r="J75" s="3848"/>
      <c r="K75" s="2493"/>
      <c r="L75" s="2493"/>
      <c r="M75" s="2493"/>
      <c r="N75" s="2493"/>
    </row>
    <row r="76" spans="1:14" s="1097" customFormat="1" ht="51">
      <c r="A76" s="2479" t="s">
        <v>2457</v>
      </c>
      <c r="B76" s="1103">
        <f>+'CONT EXECUTIE  '!C203</f>
        <v>0</v>
      </c>
      <c r="C76" s="1103">
        <f>+'CONT EXECUTIE  '!D203</f>
        <v>0</v>
      </c>
      <c r="D76" s="3847"/>
      <c r="E76" s="1103">
        <f>+'CONT EXECUTIE  '!E203</f>
        <v>0</v>
      </c>
      <c r="F76" s="1103">
        <f>+'CONT EXECUTIE  '!F203</f>
        <v>0</v>
      </c>
      <c r="G76" s="3848"/>
      <c r="H76" s="3849">
        <f>+I76+J76</f>
        <v>0</v>
      </c>
      <c r="I76" s="3848"/>
      <c r="J76" s="3848"/>
      <c r="K76" s="2493"/>
      <c r="L76" s="2493"/>
      <c r="M76" s="2493"/>
      <c r="N76" s="2493"/>
    </row>
    <row r="77" spans="1:14" s="1097" customFormat="1">
      <c r="A77" s="792" t="s">
        <v>2470</v>
      </c>
      <c r="B77" s="1103">
        <f>+B78+B79</f>
        <v>0</v>
      </c>
      <c r="C77" s="1103">
        <f t="shared" ref="C77:J77" si="46">+C78+C79</f>
        <v>0</v>
      </c>
      <c r="D77" s="1103">
        <f t="shared" si="46"/>
        <v>0</v>
      </c>
      <c r="E77" s="1103">
        <f t="shared" si="46"/>
        <v>0</v>
      </c>
      <c r="F77" s="1103">
        <f t="shared" si="46"/>
        <v>0</v>
      </c>
      <c r="G77" s="1103">
        <f t="shared" si="46"/>
        <v>0</v>
      </c>
      <c r="H77" s="1103">
        <f t="shared" si="46"/>
        <v>0</v>
      </c>
      <c r="I77" s="1103">
        <f t="shared" si="46"/>
        <v>0</v>
      </c>
      <c r="J77" s="1103">
        <f t="shared" si="46"/>
        <v>0</v>
      </c>
      <c r="K77" s="2493"/>
      <c r="L77" s="2493"/>
      <c r="M77" s="2493"/>
      <c r="N77" s="2493"/>
    </row>
    <row r="78" spans="1:14" s="785" customFormat="1">
      <c r="A78" s="2479" t="s">
        <v>1539</v>
      </c>
      <c r="B78" s="1045">
        <f>+'CONT EXECUTIE  '!C168</f>
        <v>0</v>
      </c>
      <c r="C78" s="1045">
        <f>+'CONT EXECUTIE  '!D168</f>
        <v>0</v>
      </c>
      <c r="D78" s="1046"/>
      <c r="E78" s="1045">
        <f>+'CONT EXECUTIE  '!E168</f>
        <v>0</v>
      </c>
      <c r="F78" s="1045">
        <f>+'CONT EXECUTIE  '!F168</f>
        <v>0</v>
      </c>
      <c r="G78" s="1100"/>
      <c r="H78" s="1101">
        <f t="shared" ref="H78:H79" si="47">+I78+J78</f>
        <v>0</v>
      </c>
      <c r="I78" s="1100"/>
      <c r="J78" s="1100"/>
      <c r="K78" s="2494"/>
      <c r="L78" s="2494"/>
      <c r="M78" s="2494"/>
      <c r="N78" s="2494"/>
    </row>
    <row r="79" spans="1:14" s="785" customFormat="1" ht="51">
      <c r="A79" s="2479" t="s">
        <v>2457</v>
      </c>
      <c r="B79" s="1045">
        <f>+'CONT EXECUTIE  '!C169</f>
        <v>0</v>
      </c>
      <c r="C79" s="1045">
        <f>+'CONT EXECUTIE  '!D169</f>
        <v>0</v>
      </c>
      <c r="D79" s="1046"/>
      <c r="E79" s="1045">
        <f>+'CONT EXECUTIE  '!E169</f>
        <v>0</v>
      </c>
      <c r="F79" s="1045">
        <f>+'CONT EXECUTIE  '!F169</f>
        <v>0</v>
      </c>
      <c r="G79" s="1100"/>
      <c r="H79" s="1101">
        <f t="shared" si="47"/>
        <v>0</v>
      </c>
      <c r="I79" s="1100"/>
      <c r="J79" s="1100"/>
      <c r="K79" s="2494"/>
      <c r="L79" s="2494"/>
      <c r="M79" s="2494"/>
      <c r="N79" s="2494"/>
    </row>
    <row r="80" spans="1:14" s="1097" customFormat="1">
      <c r="A80" s="792" t="s">
        <v>2471</v>
      </c>
      <c r="B80" s="1103">
        <f>+B81+B82</f>
        <v>122660</v>
      </c>
      <c r="C80" s="1103">
        <f t="shared" ref="C80:J80" si="48">+C81+C82</f>
        <v>82660</v>
      </c>
      <c r="D80" s="1103">
        <f t="shared" si="48"/>
        <v>81319</v>
      </c>
      <c r="E80" s="1103">
        <f t="shared" si="48"/>
        <v>174330</v>
      </c>
      <c r="F80" s="1103">
        <f t="shared" si="48"/>
        <v>158490</v>
      </c>
      <c r="G80" s="1103">
        <f t="shared" si="48"/>
        <v>158490</v>
      </c>
      <c r="H80" s="1103">
        <f t="shared" si="48"/>
        <v>158490</v>
      </c>
      <c r="I80" s="1103">
        <f t="shared" si="48"/>
        <v>158490</v>
      </c>
      <c r="J80" s="1103">
        <f t="shared" si="48"/>
        <v>0</v>
      </c>
      <c r="K80" s="2493"/>
      <c r="L80" s="2493"/>
      <c r="M80" s="2493"/>
      <c r="N80" s="2493"/>
    </row>
    <row r="81" spans="1:15" s="785" customFormat="1">
      <c r="A81" s="2479" t="s">
        <v>1539</v>
      </c>
      <c r="B81" s="1045">
        <f>+'CONT EXECUTIE  '!C199</f>
        <v>122660</v>
      </c>
      <c r="C81" s="1045">
        <f>+'CONT EXECUTIE  '!D199</f>
        <v>82660</v>
      </c>
      <c r="D81" s="1046">
        <v>81319</v>
      </c>
      <c r="E81" s="1045">
        <f>+'CONT EXECUTIE  '!E199</f>
        <v>174330</v>
      </c>
      <c r="F81" s="1045">
        <f>+'CONT EXECUTIE  '!F199</f>
        <v>158490</v>
      </c>
      <c r="G81" s="1100">
        <v>158490</v>
      </c>
      <c r="H81" s="1101">
        <f t="shared" ref="H81:H82" si="49">+I81+J81</f>
        <v>158490</v>
      </c>
      <c r="I81" s="1100">
        <v>158490</v>
      </c>
      <c r="J81" s="1100"/>
      <c r="K81" s="2494"/>
      <c r="L81" s="2494"/>
      <c r="M81" s="2494"/>
      <c r="N81" s="2494"/>
    </row>
    <row r="82" spans="1:15" s="785" customFormat="1" ht="51">
      <c r="A82" s="2479" t="s">
        <v>2457</v>
      </c>
      <c r="B82" s="1045">
        <f>+'CONT EXECUTIE  '!C200</f>
        <v>0</v>
      </c>
      <c r="C82" s="1045">
        <f>+'CONT EXECUTIE  '!D200</f>
        <v>0</v>
      </c>
      <c r="D82" s="1046"/>
      <c r="E82" s="1045">
        <f>+'CONT EXECUTIE  '!E200</f>
        <v>0</v>
      </c>
      <c r="F82" s="1045">
        <f>+'CONT EXECUTIE  '!F200</f>
        <v>0</v>
      </c>
      <c r="G82" s="1100"/>
      <c r="H82" s="1101">
        <f t="shared" si="49"/>
        <v>0</v>
      </c>
      <c r="I82" s="1100"/>
      <c r="J82" s="1100"/>
      <c r="K82" s="2494"/>
      <c r="L82" s="2494"/>
      <c r="M82" s="2494"/>
      <c r="N82" s="2494"/>
    </row>
    <row r="83" spans="1:15" s="1097" customFormat="1" ht="25.5">
      <c r="A83" s="793" t="s">
        <v>2472</v>
      </c>
      <c r="B83" s="1095">
        <f>+B84+B85</f>
        <v>14789860</v>
      </c>
      <c r="C83" s="1095">
        <f t="shared" ref="C83:J83" si="50">+C84+C85</f>
        <v>11000000</v>
      </c>
      <c r="D83" s="1095">
        <f t="shared" si="50"/>
        <v>11000000</v>
      </c>
      <c r="E83" s="1095">
        <f t="shared" si="50"/>
        <v>14805730</v>
      </c>
      <c r="F83" s="1095">
        <f t="shared" si="50"/>
        <v>10721000</v>
      </c>
      <c r="G83" s="1095">
        <f t="shared" si="50"/>
        <v>10721000</v>
      </c>
      <c r="H83" s="1095">
        <f t="shared" si="50"/>
        <v>10721000</v>
      </c>
      <c r="I83" s="1095">
        <f t="shared" si="50"/>
        <v>0</v>
      </c>
      <c r="J83" s="1095">
        <f t="shared" si="50"/>
        <v>10721000</v>
      </c>
      <c r="K83" s="2492">
        <f>IF(B83='CONT EXECUTIE  '!C220,0,"eroare")</f>
        <v>0</v>
      </c>
      <c r="L83" s="2492">
        <f>IF(E83='CONT EXECUTIE  '!E220,0,"eroare")</f>
        <v>0</v>
      </c>
      <c r="M83" s="2492">
        <f>IF(F83='CONT EXECUTIE  '!F220,0,"eroare")</f>
        <v>0</v>
      </c>
      <c r="N83" s="2492">
        <f>IF(H83=PLATI!C197,0,"eroare")</f>
        <v>0</v>
      </c>
    </row>
    <row r="84" spans="1:15" s="785" customFormat="1">
      <c r="A84" s="2479" t="s">
        <v>1539</v>
      </c>
      <c r="B84" s="2484">
        <f>+'CONT EXECUTIE  '!C221</f>
        <v>14789860</v>
      </c>
      <c r="C84" s="2484">
        <f>+'CONT EXECUTIE  '!D221</f>
        <v>11000000</v>
      </c>
      <c r="D84" s="1046">
        <v>11000000</v>
      </c>
      <c r="E84" s="2484">
        <f>+'CONT EXECUTIE  '!E221</f>
        <v>14805730</v>
      </c>
      <c r="F84" s="2484">
        <f>+'CONT EXECUTIE  '!F221</f>
        <v>10721000</v>
      </c>
      <c r="G84" s="1100">
        <v>10721000</v>
      </c>
      <c r="H84" s="1101">
        <f t="shared" ref="H84:H85" si="51">+I84+J84</f>
        <v>10721000</v>
      </c>
      <c r="I84" s="1100"/>
      <c r="J84" s="1100">
        <v>10721000</v>
      </c>
      <c r="K84" s="2499">
        <f>IF(B84='CONT EXECUTIE  '!C221,0,"eroare")</f>
        <v>0</v>
      </c>
      <c r="L84" s="2499">
        <f>IF(E84='CONT EXECUTIE  '!E221,0,"eroare")</f>
        <v>0</v>
      </c>
      <c r="M84" s="2499">
        <f>IF(F84='CONT EXECUTIE  '!F221,0,"eroare")</f>
        <v>0</v>
      </c>
      <c r="N84" s="2499">
        <f>IF(H84=PLATI!C198,0,"eroare")</f>
        <v>0</v>
      </c>
    </row>
    <row r="85" spans="1:15" s="785" customFormat="1" ht="51">
      <c r="A85" s="2479" t="s">
        <v>2457</v>
      </c>
      <c r="B85" s="2484">
        <f>+'CONT EXECUTIE  '!C222</f>
        <v>0</v>
      </c>
      <c r="C85" s="2484">
        <f>+'CONT EXECUTIE  '!D222</f>
        <v>0</v>
      </c>
      <c r="D85" s="1046"/>
      <c r="E85" s="2484">
        <f>+'CONT EXECUTIE  '!E222</f>
        <v>0</v>
      </c>
      <c r="F85" s="2484">
        <f>+'CONT EXECUTIE  '!F222</f>
        <v>0</v>
      </c>
      <c r="G85" s="1100"/>
      <c r="H85" s="1101">
        <f t="shared" si="51"/>
        <v>0</v>
      </c>
      <c r="I85" s="1100"/>
      <c r="J85" s="1100"/>
      <c r="K85" s="2499">
        <f>IF(B85='CONT EXECUTIE  '!C222,0,"eroare")</f>
        <v>0</v>
      </c>
      <c r="L85" s="2499">
        <f>IF(E85='CONT EXECUTIE  '!E222,0,"eroare")</f>
        <v>0</v>
      </c>
      <c r="M85" s="2499">
        <f>IF(F85='CONT EXECUTIE  '!F222,0,"eroare")</f>
        <v>0</v>
      </c>
      <c r="N85" s="2499">
        <f>IF(H85=PLATI!C199,0,"eroare")</f>
        <v>0</v>
      </c>
    </row>
    <row r="86" spans="1:15" s="1097" customFormat="1">
      <c r="A86" s="792" t="s">
        <v>787</v>
      </c>
      <c r="B86" s="1103">
        <f>+'CONT EXECUTIE  '!C204</f>
        <v>0</v>
      </c>
      <c r="C86" s="1103">
        <f>+'CONT EXECUTIE  '!D204</f>
        <v>0</v>
      </c>
      <c r="D86" s="1102"/>
      <c r="E86" s="1103">
        <f>+'CONT EXECUTIE  '!E204</f>
        <v>0</v>
      </c>
      <c r="F86" s="1103">
        <f>+'CONT EXECUTIE  '!F204</f>
        <v>0</v>
      </c>
      <c r="G86" s="1098"/>
      <c r="H86" s="1099">
        <f t="shared" si="31"/>
        <v>0</v>
      </c>
      <c r="I86" s="1098"/>
      <c r="J86" s="1098"/>
      <c r="K86" s="2492"/>
      <c r="L86" s="2492"/>
      <c r="M86" s="2492"/>
      <c r="N86" s="2492"/>
    </row>
    <row r="87" spans="1:15" s="2489" customFormat="1">
      <c r="A87" s="792" t="s">
        <v>2473</v>
      </c>
      <c r="B87" s="2488">
        <f>+B88+B89</f>
        <v>0</v>
      </c>
      <c r="C87" s="2488">
        <f t="shared" ref="C87:J87" si="52">+C88+C89</f>
        <v>0</v>
      </c>
      <c r="D87" s="2488">
        <f t="shared" si="52"/>
        <v>0</v>
      </c>
      <c r="E87" s="2488">
        <f t="shared" si="52"/>
        <v>0</v>
      </c>
      <c r="F87" s="2488">
        <f t="shared" si="52"/>
        <v>0</v>
      </c>
      <c r="G87" s="2488">
        <f t="shared" si="52"/>
        <v>0</v>
      </c>
      <c r="H87" s="2488">
        <f t="shared" si="52"/>
        <v>0</v>
      </c>
      <c r="I87" s="2488">
        <f t="shared" si="52"/>
        <v>0</v>
      </c>
      <c r="J87" s="2488">
        <f t="shared" si="52"/>
        <v>0</v>
      </c>
      <c r="K87" s="2492">
        <f>IF(B87='CONT EXECUTIE  '!C250,0,"eroare")</f>
        <v>0</v>
      </c>
      <c r="L87" s="2492">
        <f>IF(E87='CONT EXECUTIE  '!E250,0,"eroare")</f>
        <v>0</v>
      </c>
      <c r="M87" s="2492">
        <f>IF(F87='CONT EXECUTIE  '!F250,0,"eroare")</f>
        <v>0</v>
      </c>
      <c r="N87" s="2492">
        <f>IF(H87=PLATI!C227,0,"eroare")</f>
        <v>0</v>
      </c>
    </row>
    <row r="88" spans="1:15" s="785" customFormat="1">
      <c r="A88" s="2479" t="s">
        <v>1539</v>
      </c>
      <c r="B88" s="2485">
        <f>+'CONT EXECUTIE  '!C251</f>
        <v>0</v>
      </c>
      <c r="C88" s="2485">
        <f>+'CONT EXECUTIE  '!D251</f>
        <v>0</v>
      </c>
      <c r="D88" s="2486"/>
      <c r="E88" s="2485">
        <f>+'CONT EXECUTIE  '!E251</f>
        <v>0</v>
      </c>
      <c r="F88" s="2485">
        <f>+'CONT EXECUTIE  '!F251</f>
        <v>0</v>
      </c>
      <c r="G88" s="2487"/>
      <c r="H88" s="1101">
        <f t="shared" ref="H88:H89" si="53">+I88+J88</f>
        <v>0</v>
      </c>
      <c r="I88" s="2487"/>
      <c r="J88" s="2487"/>
      <c r="K88" s="2499">
        <f>IF(B88='CONT EXECUTIE  '!C251,0,"eroare")</f>
        <v>0</v>
      </c>
      <c r="L88" s="2499">
        <f>IF(E88='CONT EXECUTIE  '!E251,0,"eroare")</f>
        <v>0</v>
      </c>
      <c r="M88" s="2499">
        <f>IF(F88='CONT EXECUTIE  '!F251,0,"eroare")</f>
        <v>0</v>
      </c>
      <c r="N88" s="2499">
        <f>IF(H88=PLATI!C228,0,"eroare")</f>
        <v>0</v>
      </c>
    </row>
    <row r="89" spans="1:15" s="785" customFormat="1" ht="51">
      <c r="A89" s="2479" t="s">
        <v>2457</v>
      </c>
      <c r="B89" s="2485">
        <f>+'CONT EXECUTIE  '!C252</f>
        <v>0</v>
      </c>
      <c r="C89" s="2485">
        <f>+'CONT EXECUTIE  '!D252</f>
        <v>0</v>
      </c>
      <c r="D89" s="2486"/>
      <c r="E89" s="2485">
        <f>+'CONT EXECUTIE  '!E252</f>
        <v>0</v>
      </c>
      <c r="F89" s="2485">
        <f>+'CONT EXECUTIE  '!F252</f>
        <v>0</v>
      </c>
      <c r="G89" s="2487"/>
      <c r="H89" s="1101">
        <f t="shared" si="53"/>
        <v>0</v>
      </c>
      <c r="I89" s="2487"/>
      <c r="J89" s="2487"/>
      <c r="K89" s="2499">
        <f>IF(B89='CONT EXECUTIE  '!C252,0,"eroare")</f>
        <v>0</v>
      </c>
      <c r="L89" s="2499">
        <f>IF(E89='CONT EXECUTIE  '!E252,0,"eroare")</f>
        <v>0</v>
      </c>
      <c r="M89" s="2499">
        <f>IF(F89='CONT EXECUTIE  '!F252,0,"eroare")</f>
        <v>0</v>
      </c>
      <c r="N89" s="2499">
        <f>IF(H89=PLATI!C229,0,"eroare")</f>
        <v>0</v>
      </c>
    </row>
    <row r="90" spans="1:15" s="785" customFormat="1">
      <c r="A90" s="3242" t="s">
        <v>2588</v>
      </c>
      <c r="B90" s="3234">
        <f>+'CONT EXECUTIE  '!C284</f>
        <v>0</v>
      </c>
      <c r="C90" s="3234">
        <f>+'CONT EXECUTIE  '!D284</f>
        <v>0</v>
      </c>
      <c r="D90" s="3235"/>
      <c r="E90" s="3234">
        <f>+'CONT EXECUTIE  '!E284</f>
        <v>0</v>
      </c>
      <c r="F90" s="3234">
        <f>+'CONT EXECUTIE  '!F284</f>
        <v>0</v>
      </c>
      <c r="G90" s="3241"/>
      <c r="H90" s="3236">
        <f>+I90+J90</f>
        <v>0</v>
      </c>
      <c r="I90" s="3241"/>
      <c r="J90" s="3241"/>
      <c r="K90" s="2499"/>
      <c r="L90" s="2499"/>
      <c r="M90" s="2499"/>
      <c r="N90" s="2499"/>
    </row>
    <row r="91" spans="1:15" s="1097" customFormat="1" ht="27.75">
      <c r="A91" s="794" t="s">
        <v>1802</v>
      </c>
      <c r="B91" s="1095">
        <f>+B92+B96+B95+B98+B97</f>
        <v>8129860</v>
      </c>
      <c r="C91" s="1095">
        <f t="shared" ref="C91:J91" si="54">+C92+C96+C95+C98+C97</f>
        <v>6413220</v>
      </c>
      <c r="D91" s="1095">
        <f t="shared" si="54"/>
        <v>5367422</v>
      </c>
      <c r="E91" s="1095">
        <f t="shared" si="54"/>
        <v>8537230</v>
      </c>
      <c r="F91" s="1095">
        <f t="shared" si="54"/>
        <v>7878330</v>
      </c>
      <c r="G91" s="1095">
        <f t="shared" si="54"/>
        <v>7878330</v>
      </c>
      <c r="H91" s="1095">
        <f t="shared" si="54"/>
        <v>7877982</v>
      </c>
      <c r="I91" s="1095">
        <f t="shared" si="54"/>
        <v>6339742</v>
      </c>
      <c r="J91" s="1095">
        <f t="shared" si="54"/>
        <v>1538240</v>
      </c>
      <c r="K91" s="2492">
        <f>IF(B91='CONT EXECUTIE  '!C180,0,"eroare")</f>
        <v>0</v>
      </c>
      <c r="L91" s="2492">
        <f>IF(E91='CONT EXECUTIE  '!E180,0,"eroare")</f>
        <v>0</v>
      </c>
      <c r="M91" s="2492">
        <f>IF(F91='CONT EXECUTIE  '!F180,0,"eroare")</f>
        <v>0</v>
      </c>
      <c r="N91" s="2492">
        <f>IF(H91=PLATI!C157,0,"eroare")</f>
        <v>0</v>
      </c>
      <c r="O91" s="798"/>
    </row>
    <row r="92" spans="1:15" s="2481" customFormat="1" ht="25.5">
      <c r="A92" s="2490" t="s">
        <v>2474</v>
      </c>
      <c r="B92" s="2491">
        <f>+B93+B94</f>
        <v>6606490</v>
      </c>
      <c r="C92" s="2478">
        <f t="shared" ref="C92:J92" si="55">+C93+C94</f>
        <v>5211450</v>
      </c>
      <c r="D92" s="2491">
        <f t="shared" si="55"/>
        <v>4365887</v>
      </c>
      <c r="E92" s="2491">
        <f t="shared" si="55"/>
        <v>8036460</v>
      </c>
      <c r="F92" s="2491">
        <f t="shared" si="55"/>
        <v>7377560</v>
      </c>
      <c r="G92" s="2491">
        <f t="shared" si="55"/>
        <v>7377560</v>
      </c>
      <c r="H92" s="2491">
        <f t="shared" si="55"/>
        <v>7377214</v>
      </c>
      <c r="I92" s="2491">
        <f t="shared" si="55"/>
        <v>5838974</v>
      </c>
      <c r="J92" s="2491">
        <f t="shared" si="55"/>
        <v>1538240</v>
      </c>
      <c r="K92" s="2499">
        <f>IF(B92='CONT EXECUTIE  '!C181,0,"eroare")</f>
        <v>0</v>
      </c>
      <c r="L92" s="2499">
        <f>IF(E92='CONT EXECUTIE  '!E181,0,"eroare")</f>
        <v>0</v>
      </c>
      <c r="M92" s="2499">
        <f>IF(F92='CONT EXECUTIE  '!F181,0,"eroare")</f>
        <v>0</v>
      </c>
      <c r="N92" s="2499">
        <f>IF(H92=PLATI!C158,0,"eroare")</f>
        <v>0</v>
      </c>
    </row>
    <row r="93" spans="1:15" s="785" customFormat="1">
      <c r="A93" s="2479" t="s">
        <v>1539</v>
      </c>
      <c r="B93" s="1915">
        <f>+'CONT EXECUTIE  '!C182</f>
        <v>6606490</v>
      </c>
      <c r="C93" s="1045">
        <f>+'CONT EXECUTIE  '!D182</f>
        <v>5211450</v>
      </c>
      <c r="D93" s="1369">
        <v>4365887</v>
      </c>
      <c r="E93" s="1915">
        <f>+'CONT EXECUTIE  '!E182</f>
        <v>8036460</v>
      </c>
      <c r="F93" s="1915">
        <f>+'CONT EXECUTIE  '!F182</f>
        <v>7377560</v>
      </c>
      <c r="G93" s="1100">
        <v>7377560</v>
      </c>
      <c r="H93" s="1101">
        <f t="shared" ref="H93:H94" si="56">+I93+J93</f>
        <v>7377214</v>
      </c>
      <c r="I93" s="1100">
        <v>5838974</v>
      </c>
      <c r="J93" s="1100">
        <v>1538240</v>
      </c>
      <c r="K93" s="2499">
        <f>IF(B93='CONT EXECUTIE  '!C182,0,"eroare")</f>
        <v>0</v>
      </c>
      <c r="L93" s="2499">
        <f>IF(E93='CONT EXECUTIE  '!E182,0,"eroare")</f>
        <v>0</v>
      </c>
      <c r="M93" s="2499">
        <f>IF(F93='CONT EXECUTIE  '!F182,0,"eroare")</f>
        <v>0</v>
      </c>
      <c r="N93" s="2499">
        <f>IF(H93=PLATI!C159,0,"eroare")</f>
        <v>0</v>
      </c>
    </row>
    <row r="94" spans="1:15" s="785" customFormat="1" ht="51">
      <c r="A94" s="2479" t="s">
        <v>2457</v>
      </c>
      <c r="B94" s="1915">
        <f>+'CONT EXECUTIE  '!C183</f>
        <v>0</v>
      </c>
      <c r="C94" s="1045">
        <f>+'CONT EXECUTIE  '!D183</f>
        <v>0</v>
      </c>
      <c r="D94" s="1369"/>
      <c r="E94" s="1915">
        <f>+'CONT EXECUTIE  '!E183</f>
        <v>0</v>
      </c>
      <c r="F94" s="1915">
        <f>+'CONT EXECUTIE  '!F183</f>
        <v>0</v>
      </c>
      <c r="G94" s="1100"/>
      <c r="H94" s="1101">
        <f t="shared" si="56"/>
        <v>0</v>
      </c>
      <c r="I94" s="1100"/>
      <c r="J94" s="1100"/>
      <c r="K94" s="2499">
        <f>IF(B94='CONT EXECUTIE  '!C183,0,"eroare")</f>
        <v>0</v>
      </c>
      <c r="L94" s="2499">
        <f>IF(E94='CONT EXECUTIE  '!E183,0,"eroare")</f>
        <v>0</v>
      </c>
      <c r="M94" s="2499">
        <f>IF(F94='CONT EXECUTIE  '!F183,0,"eroare")</f>
        <v>0</v>
      </c>
      <c r="N94" s="2499">
        <f>IF(H94=PLATI!C160,0,"eroare")</f>
        <v>0</v>
      </c>
    </row>
    <row r="95" spans="1:15" s="785" customFormat="1">
      <c r="A95" s="1739" t="s">
        <v>2201</v>
      </c>
      <c r="B95" s="1915">
        <f>+'CONT EXECUTIE  '!C184</f>
        <v>0</v>
      </c>
      <c r="C95" s="1045">
        <f>+'CONT EXECUTIE  '!D184</f>
        <v>0</v>
      </c>
      <c r="D95" s="1369"/>
      <c r="E95" s="1915">
        <f>+'CONT EXECUTIE  '!E184</f>
        <v>0</v>
      </c>
      <c r="F95" s="1915">
        <f>+'CONT EXECUTIE  '!F184</f>
        <v>0</v>
      </c>
      <c r="G95" s="1100"/>
      <c r="H95" s="1101">
        <f>+I95+J95</f>
        <v>0</v>
      </c>
      <c r="I95" s="1100"/>
      <c r="J95" s="1100"/>
      <c r="K95" s="2499">
        <f>IF(B95='CONT EXECUTIE  '!C184,0,"eroare")</f>
        <v>0</v>
      </c>
      <c r="L95" s="2499">
        <f>IF(E95='CONT EXECUTIE  '!E184,0,"eroare")</f>
        <v>0</v>
      </c>
      <c r="M95" s="2499">
        <f>IF(F95='CONT EXECUTIE  '!F184,0,"eroare")</f>
        <v>0</v>
      </c>
      <c r="N95" s="2499">
        <f>IF(H95=PLATI!C161,0,"eroare")</f>
        <v>0</v>
      </c>
    </row>
    <row r="96" spans="1:15" s="785" customFormat="1" ht="25.5">
      <c r="A96" s="1739" t="s">
        <v>2421</v>
      </c>
      <c r="B96" s="1915">
        <f>+'CONT EXECUTIE  '!C185</f>
        <v>1523370</v>
      </c>
      <c r="C96" s="1045">
        <f>+'CONT EXECUTIE  '!D185</f>
        <v>1201770</v>
      </c>
      <c r="D96" s="1369">
        <v>1001535</v>
      </c>
      <c r="E96" s="1915">
        <f>+'CONT EXECUTIE  '!E185</f>
        <v>500770</v>
      </c>
      <c r="F96" s="1915">
        <f>+'CONT EXECUTIE  '!F185</f>
        <v>500770</v>
      </c>
      <c r="G96" s="1100">
        <v>500770</v>
      </c>
      <c r="H96" s="1101">
        <f>+I96+J96</f>
        <v>500768</v>
      </c>
      <c r="I96" s="1100">
        <v>500768</v>
      </c>
      <c r="J96" s="1100"/>
      <c r="K96" s="2499">
        <f>IF(B96='CONT EXECUTIE  '!C185,0,"eroare")</f>
        <v>0</v>
      </c>
      <c r="L96" s="2499">
        <f>IF(E96='CONT EXECUTIE  '!E185,0,"eroare")</f>
        <v>0</v>
      </c>
      <c r="M96" s="2499">
        <f>IF(F96='CONT EXECUTIE  '!F185,0,"eroare")</f>
        <v>0</v>
      </c>
      <c r="N96" s="2499">
        <f>IF(H96=PLATI!C162,0,"eroare")</f>
        <v>0</v>
      </c>
    </row>
    <row r="97" spans="1:14" s="785" customFormat="1">
      <c r="A97" s="1739" t="s">
        <v>2301</v>
      </c>
      <c r="B97" s="1915">
        <f>+'CONT EXECUTIE  '!C186</f>
        <v>0</v>
      </c>
      <c r="C97" s="1045">
        <f>+'CONT EXECUTIE  '!D186</f>
        <v>0</v>
      </c>
      <c r="D97" s="1369"/>
      <c r="E97" s="1915">
        <f>+'CONT EXECUTIE  '!E186</f>
        <v>0</v>
      </c>
      <c r="F97" s="1915">
        <f>+'CONT EXECUTIE  '!F186</f>
        <v>0</v>
      </c>
      <c r="G97" s="1100"/>
      <c r="H97" s="1101">
        <f>+I97+J97</f>
        <v>0</v>
      </c>
      <c r="I97" s="1100"/>
      <c r="J97" s="1100"/>
      <c r="K97" s="2499">
        <f>IF(B97='CONT EXECUTIE  '!C186,0,"eroare")</f>
        <v>0</v>
      </c>
      <c r="L97" s="2499">
        <f>IF(E97='CONT EXECUTIE  '!E186,0,"eroare")</f>
        <v>0</v>
      </c>
      <c r="M97" s="2499">
        <f>IF(F97='CONT EXECUTIE  '!F186,0,"eroare")</f>
        <v>0</v>
      </c>
      <c r="N97" s="2499">
        <f>IF(H97=PLATI!C163,0,"eroare")</f>
        <v>0</v>
      </c>
    </row>
    <row r="98" spans="1:14" s="785" customFormat="1">
      <c r="A98" s="795" t="s">
        <v>2500</v>
      </c>
      <c r="B98" s="1915">
        <f>+B99+B100</f>
        <v>0</v>
      </c>
      <c r="C98" s="1915">
        <f t="shared" ref="C98:J98" si="57">+C99+C100</f>
        <v>0</v>
      </c>
      <c r="D98" s="1915">
        <f t="shared" si="57"/>
        <v>0</v>
      </c>
      <c r="E98" s="1915">
        <f t="shared" si="57"/>
        <v>0</v>
      </c>
      <c r="F98" s="1915">
        <f t="shared" si="57"/>
        <v>0</v>
      </c>
      <c r="G98" s="1915">
        <f t="shared" si="57"/>
        <v>0</v>
      </c>
      <c r="H98" s="1915">
        <f t="shared" si="57"/>
        <v>0</v>
      </c>
      <c r="I98" s="1915">
        <f t="shared" si="57"/>
        <v>0</v>
      </c>
      <c r="J98" s="1915">
        <f t="shared" si="57"/>
        <v>0</v>
      </c>
      <c r="K98" s="2499">
        <f>IF(B98='CONT EXECUTIE  '!C187,0,"eroare")</f>
        <v>0</v>
      </c>
      <c r="L98" s="2499">
        <f>IF(E98='CONT EXECUTIE  '!E187,0,"eroare")</f>
        <v>0</v>
      </c>
      <c r="M98" s="2499">
        <f>IF(F98='CONT EXECUTIE  '!F187,0,"eroare")</f>
        <v>0</v>
      </c>
      <c r="N98" s="2499">
        <f>IF(H98=PLATI!C164,0,"eroare")</f>
        <v>0</v>
      </c>
    </row>
    <row r="99" spans="1:14" s="785" customFormat="1">
      <c r="A99" s="2479" t="s">
        <v>1539</v>
      </c>
      <c r="B99" s="1915">
        <f>+'CONT EXECUTIE  '!C188</f>
        <v>0</v>
      </c>
      <c r="C99" s="1045">
        <f>+'CONT EXECUTIE  '!D188</f>
        <v>0</v>
      </c>
      <c r="D99" s="2805"/>
      <c r="E99" s="1915">
        <f>+'CONT EXECUTIE  '!E188</f>
        <v>0</v>
      </c>
      <c r="F99" s="1915">
        <f>+'CONT EXECUTIE  '!F188</f>
        <v>0</v>
      </c>
      <c r="G99" s="2806"/>
      <c r="H99" s="1101">
        <f t="shared" ref="H99:H100" si="58">+I99+J99</f>
        <v>0</v>
      </c>
      <c r="I99" s="2806"/>
      <c r="J99" s="2806"/>
      <c r="K99" s="2499"/>
      <c r="L99" s="2499"/>
      <c r="M99" s="2499"/>
      <c r="N99" s="2499"/>
    </row>
    <row r="100" spans="1:14" s="785" customFormat="1" ht="51">
      <c r="A100" s="2479" t="s">
        <v>2457</v>
      </c>
      <c r="B100" s="1915">
        <f>+'CONT EXECUTIE  '!C189</f>
        <v>0</v>
      </c>
      <c r="C100" s="1045">
        <f>+'CONT EXECUTIE  '!D189</f>
        <v>0</v>
      </c>
      <c r="D100" s="2805"/>
      <c r="E100" s="1915">
        <f>+'CONT EXECUTIE  '!E189</f>
        <v>0</v>
      </c>
      <c r="F100" s="1915">
        <f>+'CONT EXECUTIE  '!F189</f>
        <v>0</v>
      </c>
      <c r="G100" s="2806"/>
      <c r="H100" s="1101">
        <f t="shared" si="58"/>
        <v>0</v>
      </c>
      <c r="I100" s="2806"/>
      <c r="J100" s="2806"/>
      <c r="K100" s="2499"/>
      <c r="L100" s="2499"/>
      <c r="M100" s="2499"/>
      <c r="N100" s="2499"/>
    </row>
    <row r="101" spans="1:14" s="798" customFormat="1" ht="15">
      <c r="A101" s="796" t="s">
        <v>788</v>
      </c>
      <c r="B101" s="1095">
        <f>+B9+B16+B29+B32+B45+B60+B65+B68+B71+B74+B77+B80+B83+B86+B87+B90</f>
        <v>41618820</v>
      </c>
      <c r="C101" s="1095">
        <f t="shared" ref="C101:J101" si="59">+C9+C16+C29+C32+C45+C60+C65+C68+C71+C74+C77+C80+C83+C86+C87+C90</f>
        <v>33769810</v>
      </c>
      <c r="D101" s="1095">
        <f t="shared" si="59"/>
        <v>32406002</v>
      </c>
      <c r="E101" s="1095">
        <f t="shared" si="59"/>
        <v>41992330</v>
      </c>
      <c r="F101" s="1095">
        <f t="shared" si="59"/>
        <v>34724970</v>
      </c>
      <c r="G101" s="1095">
        <f t="shared" si="59"/>
        <v>34724970</v>
      </c>
      <c r="H101" s="1095">
        <f t="shared" si="59"/>
        <v>34721134</v>
      </c>
      <c r="I101" s="1095">
        <f t="shared" si="59"/>
        <v>3679731</v>
      </c>
      <c r="J101" s="1095">
        <f t="shared" si="59"/>
        <v>31041403</v>
      </c>
      <c r="K101" s="2500"/>
      <c r="L101" s="2500"/>
      <c r="M101" s="2500"/>
      <c r="N101" s="2500"/>
    </row>
    <row r="102" spans="1:14" s="798" customFormat="1" ht="30">
      <c r="A102" s="797" t="s">
        <v>1270</v>
      </c>
      <c r="B102" s="1095">
        <f t="shared" ref="B102:J102" si="60">+B11+B33+B46+B61+B65+B68+B71+B77</f>
        <v>25466300</v>
      </c>
      <c r="C102" s="1095">
        <f t="shared" si="60"/>
        <v>21786990</v>
      </c>
      <c r="D102" s="1095">
        <f t="shared" si="60"/>
        <v>20456194</v>
      </c>
      <c r="E102" s="1095">
        <f t="shared" si="60"/>
        <v>25866420</v>
      </c>
      <c r="F102" s="1095">
        <f t="shared" si="60"/>
        <v>22862100</v>
      </c>
      <c r="G102" s="1095">
        <f t="shared" si="60"/>
        <v>22862100</v>
      </c>
      <c r="H102" s="1095">
        <f t="shared" si="60"/>
        <v>22858399</v>
      </c>
      <c r="I102" s="1095">
        <f t="shared" si="60"/>
        <v>3476660</v>
      </c>
      <c r="J102" s="1095">
        <f t="shared" si="60"/>
        <v>19381739</v>
      </c>
      <c r="K102" s="2492">
        <f>IF(B102='CONT EXECUTIE  '!C153-'CONT EXECUTIE  '!C180,0,"eroare")</f>
        <v>0</v>
      </c>
      <c r="L102" s="2492">
        <f>IF(E102='CONT EXECUTIE  '!E153-'CONT EXECUTIE  '!E180,0,"eroare")</f>
        <v>0</v>
      </c>
      <c r="M102" s="2492">
        <f>IF(F102+F91='CONT EXECUTIE  '!F153,0,"eroare")</f>
        <v>0</v>
      </c>
      <c r="N102" s="2492">
        <f>IF(H102+H91=PLATI!C130,0,"eroare")</f>
        <v>0</v>
      </c>
    </row>
    <row r="103" spans="1:14" s="798" customFormat="1" ht="30">
      <c r="A103" s="797" t="s">
        <v>1271</v>
      </c>
      <c r="B103" s="1095">
        <f t="shared" ref="B103:J103" si="61">+B14+B29+B36+B42+B64+B74+B80+B86+B51+B21+B24+B25+B28</f>
        <v>1362660</v>
      </c>
      <c r="C103" s="1095">
        <f t="shared" si="61"/>
        <v>982820</v>
      </c>
      <c r="D103" s="1095">
        <f t="shared" si="61"/>
        <v>949808</v>
      </c>
      <c r="E103" s="1095">
        <f t="shared" si="61"/>
        <v>1320180</v>
      </c>
      <c r="F103" s="1095">
        <f t="shared" si="61"/>
        <v>1141870</v>
      </c>
      <c r="G103" s="1095">
        <f t="shared" si="61"/>
        <v>1141870</v>
      </c>
      <c r="H103" s="1095">
        <f t="shared" si="61"/>
        <v>1141735</v>
      </c>
      <c r="I103" s="1095">
        <f t="shared" si="61"/>
        <v>203071</v>
      </c>
      <c r="J103" s="1095">
        <f t="shared" si="61"/>
        <v>938664</v>
      </c>
      <c r="K103" s="2492">
        <f>IF(B103='CONT EXECUTIE  '!C190,0,"eroare")</f>
        <v>0</v>
      </c>
      <c r="L103" s="2492">
        <f>IF(E103='CONT EXECUTIE  '!E190,0,"eroare")</f>
        <v>0</v>
      </c>
      <c r="M103" s="2492">
        <f>IF(F103='CONT EXECUTIE  '!F190,0,"eroare")</f>
        <v>0</v>
      </c>
      <c r="N103" s="2492">
        <f>IF(H103=PLATI!C167,0,"eroare")</f>
        <v>0</v>
      </c>
    </row>
    <row r="104" spans="1:14" s="1097" customFormat="1" ht="15">
      <c r="A104" s="799" t="s">
        <v>231</v>
      </c>
      <c r="B104" s="1096">
        <f t="shared" ref="B104:J104" si="62">+B101+B91</f>
        <v>49748680</v>
      </c>
      <c r="C104" s="1096">
        <f t="shared" si="62"/>
        <v>40183030</v>
      </c>
      <c r="D104" s="1096">
        <f t="shared" si="62"/>
        <v>37773424</v>
      </c>
      <c r="E104" s="1096">
        <f t="shared" si="62"/>
        <v>50529560</v>
      </c>
      <c r="F104" s="1096">
        <f t="shared" si="62"/>
        <v>42603300</v>
      </c>
      <c r="G104" s="1096">
        <f t="shared" si="62"/>
        <v>42603300</v>
      </c>
      <c r="H104" s="1096">
        <f t="shared" si="62"/>
        <v>42599116</v>
      </c>
      <c r="I104" s="1096">
        <f t="shared" si="62"/>
        <v>10019473</v>
      </c>
      <c r="J104" s="1096">
        <f t="shared" si="62"/>
        <v>32579643</v>
      </c>
      <c r="K104" s="2493"/>
      <c r="L104" s="2493"/>
      <c r="M104" s="2493"/>
      <c r="N104" s="2493"/>
    </row>
    <row r="105" spans="1:14" ht="15">
      <c r="A105" s="800"/>
      <c r="B105" s="801"/>
      <c r="C105" s="801"/>
      <c r="D105" s="802"/>
      <c r="E105" s="801"/>
      <c r="F105" s="803"/>
      <c r="G105" s="801"/>
      <c r="H105" s="801"/>
      <c r="I105" s="801"/>
      <c r="J105" s="801"/>
    </row>
    <row r="106" spans="1:14" ht="15">
      <c r="A106" s="800"/>
      <c r="B106" s="1914"/>
      <c r="C106" s="1506"/>
      <c r="D106" s="802"/>
      <c r="E106" s="801"/>
      <c r="F106" s="803"/>
      <c r="G106" s="801"/>
      <c r="H106" s="801"/>
      <c r="I106" s="801"/>
      <c r="J106" s="801"/>
    </row>
    <row r="107" spans="1:14" ht="15.75">
      <c r="A107" s="1200" t="str">
        <f>+'Bugetul de stat'!A60</f>
        <v>DIRECTOR  GENERAL,</v>
      </c>
    </row>
    <row r="108" spans="1:14" ht="15.75" customHeight="1">
      <c r="A108" s="1199"/>
      <c r="B108" s="804"/>
      <c r="C108" s="804"/>
      <c r="E108" s="1202" t="str">
        <f>+'Bugetul de stat'!C60</f>
        <v>DIRECTOR EXECUTIV ECONOMIC,</v>
      </c>
      <c r="F108" s="1202"/>
      <c r="G108" s="1202"/>
      <c r="H108" s="1202"/>
    </row>
    <row r="109" spans="1:14" ht="15.75">
      <c r="A109" s="1199" t="str">
        <f>'ANEXA 1'!B96</f>
        <v>EC.ALBU DRINA</v>
      </c>
      <c r="B109" s="805"/>
      <c r="C109" s="805"/>
      <c r="D109" s="805"/>
      <c r="E109" s="805"/>
    </row>
    <row r="110" spans="1:14" ht="15.75">
      <c r="A110" s="1125">
        <f>'ANEXA 1'!B97</f>
        <v>0</v>
      </c>
      <c r="B110" s="786"/>
      <c r="C110" s="786"/>
      <c r="D110" s="806"/>
      <c r="E110" s="1201" t="str">
        <f>'ANEXA 1'!D96</f>
        <v>EC.BIRCU FLORINA</v>
      </c>
      <c r="F110" s="1201"/>
      <c r="G110" s="1201"/>
      <c r="H110" s="1201"/>
    </row>
    <row r="111" spans="1:14" ht="15">
      <c r="B111" s="314"/>
      <c r="C111" s="67"/>
      <c r="D111" s="314"/>
      <c r="E111" s="314"/>
    </row>
    <row r="112" spans="1:14">
      <c r="B112" s="149"/>
      <c r="C112" s="213"/>
      <c r="D112" s="771"/>
      <c r="G112" s="148"/>
      <c r="H112" s="148"/>
      <c r="I112" s="148"/>
    </row>
    <row r="113" spans="2:9" ht="15">
      <c r="B113" s="150"/>
      <c r="C113" s="1107"/>
      <c r="D113" s="150"/>
      <c r="G113" s="768"/>
      <c r="H113" s="769"/>
    </row>
    <row r="114" spans="2:9">
      <c r="B114" s="770"/>
      <c r="C114" s="770"/>
      <c r="D114" s="771"/>
      <c r="G114" s="513"/>
      <c r="H114" s="513"/>
      <c r="I114" s="513"/>
    </row>
    <row r="115" spans="2:9">
      <c r="B115" s="770"/>
      <c r="C115" s="770"/>
      <c r="D115" s="771"/>
    </row>
    <row r="116" spans="2:9">
      <c r="B116" s="770"/>
      <c r="C116" s="2374"/>
      <c r="D116" s="807"/>
      <c r="E116" s="807"/>
      <c r="F116" s="807"/>
      <c r="G116" s="807"/>
    </row>
    <row r="117" spans="2:9">
      <c r="B117" s="770"/>
      <c r="C117" s="2374"/>
      <c r="D117" s="771"/>
    </row>
  </sheetData>
  <sheetProtection password="CE96" sheet="1" objects="1" scenarios="1"/>
  <mergeCells count="9">
    <mergeCell ref="A3:J3"/>
    <mergeCell ref="F6:F7"/>
    <mergeCell ref="G6:G7"/>
    <mergeCell ref="H6:J6"/>
    <mergeCell ref="A6:A7"/>
    <mergeCell ref="B6:B7"/>
    <mergeCell ref="C6:C7"/>
    <mergeCell ref="D6:D7"/>
    <mergeCell ref="E6:E7"/>
  </mergeCells>
  <phoneticPr fontId="0" type="noConversion"/>
  <dataValidations count="3">
    <dataValidation type="whole" allowBlank="1" showErrorMessage="1" sqref="D12:D13">
      <formula1>0</formula1>
      <formula2>9.99999999999E+26</formula2>
    </dataValidation>
    <dataValidation type="whole" allowBlank="1" showErrorMessage="1" sqref="B16">
      <formula1>0</formula1>
      <formula2>9.99999999999999E+26</formula2>
    </dataValidation>
    <dataValidation allowBlank="1" showErrorMessage="1" sqref="E6:E7"/>
  </dataValidations>
  <printOptions horizontalCentered="1" verticalCentered="1"/>
  <pageMargins left="0.39374999999999999" right="0.19652777777777777" top="0.15763888888888888" bottom="0" header="0.51180555555555551" footer="0.51180555555555551"/>
  <pageSetup paperSize="9" scale="70" firstPageNumber="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8">
    <tabColor indexed="13"/>
  </sheetPr>
  <dimension ref="A1:F71"/>
  <sheetViews>
    <sheetView showZeros="0" topLeftCell="A31" workbookViewId="0">
      <selection activeCell="C25" sqref="C25"/>
    </sheetView>
  </sheetViews>
  <sheetFormatPr defaultColWidth="9.140625" defaultRowHeight="12.75" customHeight="1"/>
  <cols>
    <col min="1" max="1" width="9.140625" style="812"/>
    <col min="2" max="2" width="58.85546875" style="813" customWidth="1"/>
    <col min="3" max="3" width="31.42578125" style="814" customWidth="1"/>
    <col min="4" max="4" width="14.42578125" style="812" bestFit="1" customWidth="1"/>
    <col min="5" max="5" width="16.7109375" style="812" customWidth="1"/>
    <col min="6" max="16384" width="9.140625" style="812"/>
  </cols>
  <sheetData>
    <row r="1" spans="1:6" ht="15.75">
      <c r="A1" s="4650" t="str">
        <f>Programe!A1</f>
        <v>CASA  DE  ASIGURĂRI  DE  SĂNĂTATE MEHEDINTI</v>
      </c>
      <c r="B1" s="4650"/>
      <c r="C1" s="815"/>
    </row>
    <row r="2" spans="1:6">
      <c r="C2" s="816"/>
    </row>
    <row r="4" spans="1:6">
      <c r="B4" s="4651" t="s">
        <v>789</v>
      </c>
      <c r="C4" s="4651"/>
    </row>
    <row r="5" spans="1:6" hidden="1">
      <c r="B5" s="818"/>
    </row>
    <row r="6" spans="1:6" hidden="1">
      <c r="B6" s="818"/>
    </row>
    <row r="7" spans="1:6" hidden="1">
      <c r="B7" s="818"/>
    </row>
    <row r="8" spans="1:6" hidden="1">
      <c r="B8" s="818"/>
    </row>
    <row r="10" spans="1:6">
      <c r="B10" s="817"/>
      <c r="C10" s="817"/>
    </row>
    <row r="11" spans="1:6" s="819" customFormat="1" ht="27" customHeight="1">
      <c r="B11" s="820" t="s">
        <v>790</v>
      </c>
      <c r="C11" s="821" t="s">
        <v>791</v>
      </c>
    </row>
    <row r="12" spans="1:6" s="822" customFormat="1" ht="12" hidden="1">
      <c r="B12" s="823" t="s">
        <v>92</v>
      </c>
      <c r="C12" s="823">
        <v>1</v>
      </c>
    </row>
    <row r="13" spans="1:6" s="814" customFormat="1" ht="23.25" customHeight="1">
      <c r="A13" s="824"/>
      <c r="B13" s="825" t="s">
        <v>792</v>
      </c>
      <c r="C13" s="1130" t="s">
        <v>2557</v>
      </c>
      <c r="E13" s="830"/>
    </row>
    <row r="14" spans="1:6" s="829" customFormat="1">
      <c r="A14" s="826"/>
      <c r="B14" s="827" t="s">
        <v>793</v>
      </c>
      <c r="C14" s="828">
        <f>+C17</f>
        <v>437159530</v>
      </c>
      <c r="E14" s="830"/>
      <c r="F14" s="830"/>
    </row>
    <row r="15" spans="1:6" s="829" customFormat="1">
      <c r="A15" s="826"/>
      <c r="B15" s="827" t="s">
        <v>794</v>
      </c>
      <c r="C15" s="828">
        <f>+C18</f>
        <v>407858970</v>
      </c>
      <c r="E15" s="830"/>
      <c r="F15" s="830"/>
    </row>
    <row r="16" spans="1:6" ht="26.25" customHeight="1">
      <c r="A16" s="831"/>
      <c r="B16" s="832" t="s">
        <v>795</v>
      </c>
      <c r="C16" s="833"/>
      <c r="D16" s="829"/>
      <c r="E16" s="830"/>
      <c r="F16" s="830"/>
    </row>
    <row r="17" spans="1:6" s="829" customFormat="1" ht="13.5" customHeight="1">
      <c r="A17" s="826"/>
      <c r="B17" s="827" t="s">
        <v>796</v>
      </c>
      <c r="C17" s="828">
        <f>+C24+C31+C35+C42+C49+C56</f>
        <v>437159530</v>
      </c>
      <c r="E17" s="830"/>
      <c r="F17" s="830"/>
    </row>
    <row r="18" spans="1:6" s="829" customFormat="1">
      <c r="A18" s="826"/>
      <c r="B18" s="827" t="s">
        <v>797</v>
      </c>
      <c r="C18" s="828">
        <f>+C25+C32+C36+C43+C50+C57</f>
        <v>407858970</v>
      </c>
      <c r="E18" s="830"/>
      <c r="F18" s="830"/>
    </row>
    <row r="19" spans="1:6">
      <c r="A19" s="834">
        <v>530</v>
      </c>
      <c r="B19" s="837" t="s">
        <v>2606</v>
      </c>
      <c r="C19" s="836"/>
      <c r="D19" s="829"/>
      <c r="E19" s="830"/>
      <c r="F19" s="830"/>
    </row>
    <row r="20" spans="1:6" s="839" customFormat="1">
      <c r="A20" s="838"/>
      <c r="B20" s="839" t="s">
        <v>798</v>
      </c>
      <c r="C20" s="840"/>
      <c r="D20" s="829"/>
      <c r="E20" s="830"/>
      <c r="F20" s="830"/>
    </row>
    <row r="21" spans="1:6" s="839" customFormat="1">
      <c r="A21" s="838"/>
      <c r="B21" s="827" t="s">
        <v>793</v>
      </c>
      <c r="C21" s="828">
        <f>+C24</f>
        <v>41618820</v>
      </c>
      <c r="D21" s="829"/>
      <c r="E21" s="830"/>
      <c r="F21" s="830"/>
    </row>
    <row r="22" spans="1:6" s="839" customFormat="1">
      <c r="A22" s="838"/>
      <c r="B22" s="827" t="s">
        <v>794</v>
      </c>
      <c r="C22" s="828">
        <f>+C25</f>
        <v>41992330</v>
      </c>
      <c r="D22" s="829"/>
      <c r="E22" s="830"/>
      <c r="F22" s="830"/>
    </row>
    <row r="23" spans="1:6" s="844" customFormat="1" ht="16.5" customHeight="1">
      <c r="A23" s="841"/>
      <c r="B23" s="842" t="s">
        <v>795</v>
      </c>
      <c r="C23" s="843"/>
      <c r="D23" s="829"/>
      <c r="E23" s="830"/>
      <c r="F23" s="830"/>
    </row>
    <row r="24" spans="1:6" s="829" customFormat="1">
      <c r="A24" s="838"/>
      <c r="B24" s="827" t="s">
        <v>793</v>
      </c>
      <c r="C24" s="845">
        <f>+'CONT EXECUTIE  '!C153-'CONT EXECUTIE  '!C180+'CONT EXECUTIE  '!C190+'CONT EXECUTIE  '!C220+'CONT EXECUTIE  '!C248+'CONT EXECUTIE  '!C274+'CONT EXECUTIE  '!C240</f>
        <v>41618820</v>
      </c>
      <c r="E24" s="830"/>
      <c r="F24" s="830"/>
    </row>
    <row r="25" spans="1:6" s="829" customFormat="1">
      <c r="A25" s="838"/>
      <c r="B25" s="827" t="s">
        <v>794</v>
      </c>
      <c r="C25" s="845">
        <f>+'CONT EXECUTIE  '!E153-'CONT EXECUTIE  '!E180+'CONT EXECUTIE  '!E190+'CONT EXECUTIE  '!E220+'CONT EXECUTIE  '!E248++'CONT EXECUTIE  '!E274+'CONT EXECUTIE  '!E240</f>
        <v>41992330</v>
      </c>
      <c r="E25" s="830"/>
      <c r="F25" s="830"/>
    </row>
    <row r="26" spans="1:6" s="847" customFormat="1" ht="41.25" customHeight="1">
      <c r="A26" s="838">
        <v>659</v>
      </c>
      <c r="B26" s="835" t="s">
        <v>799</v>
      </c>
      <c r="C26" s="846"/>
      <c r="D26" s="829"/>
      <c r="E26" s="830"/>
      <c r="F26" s="830"/>
    </row>
    <row r="27" spans="1:6" s="847" customFormat="1">
      <c r="A27" s="838"/>
      <c r="B27" s="839" t="s">
        <v>798</v>
      </c>
      <c r="C27" s="846"/>
      <c r="D27" s="829"/>
      <c r="E27" s="830"/>
      <c r="F27" s="830"/>
    </row>
    <row r="28" spans="1:6" s="847" customFormat="1">
      <c r="A28" s="838"/>
      <c r="B28" s="827" t="s">
        <v>793</v>
      </c>
      <c r="C28" s="848">
        <f>+C31</f>
        <v>249963540</v>
      </c>
      <c r="D28" s="829"/>
      <c r="E28" s="830"/>
      <c r="F28" s="830"/>
    </row>
    <row r="29" spans="1:6" s="847" customFormat="1">
      <c r="A29" s="838"/>
      <c r="B29" s="827" t="s">
        <v>794</v>
      </c>
      <c r="C29" s="848">
        <f>+C32</f>
        <v>219640850</v>
      </c>
      <c r="D29" s="829"/>
      <c r="E29" s="830"/>
      <c r="F29" s="830"/>
    </row>
    <row r="30" spans="1:6" s="847" customFormat="1" ht="17.25" customHeight="1">
      <c r="A30" s="838"/>
      <c r="B30" s="842" t="s">
        <v>795</v>
      </c>
      <c r="C30" s="846"/>
      <c r="D30" s="829"/>
      <c r="E30" s="830"/>
      <c r="F30" s="830"/>
    </row>
    <row r="31" spans="1:6" s="829" customFormat="1">
      <c r="A31" s="838"/>
      <c r="B31" s="827" t="s">
        <v>793</v>
      </c>
      <c r="C31" s="828">
        <f>+'CONT EXECUTIE  '!C139+'CONT EXECUTIE  '!C140+'CONT EXECUTIE  '!C141+'CONT EXECUTIE  '!C142+'CONT EXECUTIE  '!C143+'CONT EXECUTIE  '!C223+'CONT EXECUTIE  '!C227+'CONT EXECUTIE  '!C236+'CONT EXECUTIE  '!C239+'CONT EXECUTIE  '!C241+'CONT EXECUTIE  '!C246+'CONT EXECUTIE  '!C247+'CONT EXECUTIE  '!C259+'CONT EXECUTIE  '!C264+'CONT EXECUTIE  '!C269+'CONT EXECUTIE  '!C271+'CONT EXECUTIE  '!C272+'CONT EXECUTIE  '!C273+'CONT EXECUTIE  '!C285+'CONT EXECUTIE  '!C290+'CONT EXECUTIE  '!C291</f>
        <v>249963540</v>
      </c>
      <c r="E31" s="830"/>
      <c r="F31" s="830"/>
    </row>
    <row r="32" spans="1:6" s="829" customFormat="1">
      <c r="A32" s="838"/>
      <c r="B32" s="827" t="s">
        <v>794</v>
      </c>
      <c r="C32" s="828">
        <f>+'CONT EXECUTIE  '!E139+'CONT EXECUTIE  '!E140+'CONT EXECUTIE  '!E141+'CONT EXECUTIE  '!E142+'CONT EXECUTIE  '!E143+'CONT EXECUTIE  '!E223+'CONT EXECUTIE  '!E227+'CONT EXECUTIE  '!E236+'CONT EXECUTIE  '!E239+'CONT EXECUTIE  '!E241+'CONT EXECUTIE  '!E246+'CONT EXECUTIE  '!E247+'CONT EXECUTIE  '!E259+'CONT EXECUTIE  '!E264+'CONT EXECUTIE  '!E269+'CONT EXECUTIE  '!E271+'CONT EXECUTIE  '!E272+'CONT EXECUTIE  '!E273+'CONT EXECUTIE  '!E285+'CONT EXECUTIE  '!E290+'CONT EXECUTIE  '!E291</f>
        <v>219640850</v>
      </c>
      <c r="F32" s="830"/>
    </row>
    <row r="33" spans="1:6" s="829" customFormat="1" ht="25.5">
      <c r="A33" s="3332">
        <v>1704</v>
      </c>
      <c r="B33" s="842" t="s">
        <v>800</v>
      </c>
      <c r="C33" s="828"/>
      <c r="F33" s="830"/>
    </row>
    <row r="34" spans="1:6" s="829" customFormat="1">
      <c r="A34" s="3332"/>
      <c r="B34" s="842" t="s">
        <v>798</v>
      </c>
      <c r="C34" s="828"/>
      <c r="F34" s="830"/>
    </row>
    <row r="35" spans="1:6" s="829" customFormat="1">
      <c r="A35" s="3332"/>
      <c r="B35" s="849" t="s">
        <v>793</v>
      </c>
      <c r="C35" s="828">
        <f>+C38</f>
        <v>13000030</v>
      </c>
      <c r="F35" s="830"/>
    </row>
    <row r="36" spans="1:6" s="829" customFormat="1">
      <c r="A36" s="3332"/>
      <c r="B36" s="849" t="s">
        <v>794</v>
      </c>
      <c r="C36" s="828">
        <f>+C39</f>
        <v>13648650</v>
      </c>
      <c r="F36" s="830"/>
    </row>
    <row r="37" spans="1:6" s="829" customFormat="1" ht="15.75" customHeight="1">
      <c r="A37" s="3332"/>
      <c r="B37" s="842" t="s">
        <v>795</v>
      </c>
      <c r="C37" s="828"/>
      <c r="F37" s="830"/>
    </row>
    <row r="38" spans="1:6" s="829" customFormat="1">
      <c r="A38" s="3332"/>
      <c r="B38" s="849" t="s">
        <v>793</v>
      </c>
      <c r="C38" s="828">
        <f>+'CONT EXECUTIE  '!$C$144+'CONT EXECUTIE  '!$C$147+'CONT EXECUTIE  '!$C$180</f>
        <v>13000030</v>
      </c>
      <c r="F38" s="830"/>
    </row>
    <row r="39" spans="1:6" s="829" customFormat="1">
      <c r="A39" s="3332"/>
      <c r="B39" s="849" t="s">
        <v>794</v>
      </c>
      <c r="C39" s="828">
        <f>+'CONT EXECUTIE  '!$E$144+'CONT EXECUTIE  '!$E$147+'CONT EXECUTIE  '!$E$180</f>
        <v>13648650</v>
      </c>
      <c r="F39" s="830"/>
    </row>
    <row r="40" spans="1:6" s="829" customFormat="1" ht="25.5">
      <c r="A40" s="3332" t="s">
        <v>2600</v>
      </c>
      <c r="B40" s="3341" t="s">
        <v>2603</v>
      </c>
      <c r="C40" s="3342"/>
      <c r="F40" s="830"/>
    </row>
    <row r="41" spans="1:6" s="829" customFormat="1">
      <c r="A41" s="3340"/>
      <c r="B41" s="3343" t="s">
        <v>798</v>
      </c>
      <c r="C41" s="3342"/>
      <c r="F41" s="830"/>
    </row>
    <row r="42" spans="1:6" s="829" customFormat="1">
      <c r="A42" s="3340"/>
      <c r="B42" s="3344" t="s">
        <v>793</v>
      </c>
      <c r="C42" s="3342">
        <f>C45</f>
        <v>14664000</v>
      </c>
      <c r="F42" s="830"/>
    </row>
    <row r="43" spans="1:6" s="829" customFormat="1">
      <c r="A43" s="3340"/>
      <c r="B43" s="3344" t="s">
        <v>794</v>
      </c>
      <c r="C43" s="3342">
        <f>C46</f>
        <v>14664000</v>
      </c>
      <c r="F43" s="830"/>
    </row>
    <row r="44" spans="1:6" s="829" customFormat="1" ht="15" customHeight="1">
      <c r="A44" s="3340"/>
      <c r="B44" s="3345" t="s">
        <v>795</v>
      </c>
      <c r="C44" s="3346"/>
      <c r="F44" s="830"/>
    </row>
    <row r="45" spans="1:6" s="829" customFormat="1">
      <c r="A45" s="3340"/>
      <c r="B45" s="3347" t="s">
        <v>793</v>
      </c>
      <c r="C45" s="3346">
        <f>+'CONT EXECUTIE  '!C292</f>
        <v>14664000</v>
      </c>
      <c r="F45" s="830"/>
    </row>
    <row r="46" spans="1:6" s="829" customFormat="1">
      <c r="A46" s="3340"/>
      <c r="B46" s="3347" t="s">
        <v>794</v>
      </c>
      <c r="C46" s="3346">
        <f>+'CONT EXECUTIE  '!E292</f>
        <v>14664000</v>
      </c>
      <c r="F46" s="830"/>
    </row>
    <row r="47" spans="1:6" s="829" customFormat="1">
      <c r="A47" s="3332" t="s">
        <v>2601</v>
      </c>
      <c r="B47" s="3341" t="s">
        <v>2604</v>
      </c>
      <c r="C47" s="3342"/>
      <c r="F47" s="830"/>
    </row>
    <row r="48" spans="1:6" s="829" customFormat="1">
      <c r="A48" s="3340"/>
      <c r="B48" s="3343" t="s">
        <v>798</v>
      </c>
      <c r="C48" s="3342"/>
      <c r="F48" s="830"/>
    </row>
    <row r="49" spans="1:6" s="829" customFormat="1">
      <c r="A49" s="3340"/>
      <c r="B49" s="3344" t="s">
        <v>793</v>
      </c>
      <c r="C49" s="3342">
        <f>+'CONT EXECUTIE  '!C10+'CONT EXECUTIE  '!C12+'CONT EXECUTIE  '!C16+'CONT EXECUTIE  '!C17+'CONT EXECUTIE  '!C18+'CONT EXECUTIE  '!C23-'CONT EXECUTIE  '!C136+'CONT EXECUTIE   (2)'!C8</f>
        <v>6153270</v>
      </c>
      <c r="F49" s="830"/>
    </row>
    <row r="50" spans="1:6" s="829" customFormat="1">
      <c r="A50" s="3340"/>
      <c r="B50" s="3344" t="s">
        <v>794</v>
      </c>
      <c r="C50" s="3342">
        <f>+'CONT EXECUTIE  '!E10+'CONT EXECUTIE  '!E12+'CONT EXECUTIE  '!E17+'CONT EXECUTIE  '!E18+'CONT EXECUTIE  '!E23-'CONT EXECUTIE  '!E136+'CONT EXECUTIE   (2)'!E8+'CONT EXECUTIE  '!E16</f>
        <v>6153270</v>
      </c>
      <c r="F50" s="830"/>
    </row>
    <row r="51" spans="1:6" s="829" customFormat="1" ht="12.75" customHeight="1">
      <c r="A51" s="3340"/>
      <c r="B51" s="3345" t="s">
        <v>795</v>
      </c>
      <c r="C51" s="3346"/>
      <c r="F51" s="830"/>
    </row>
    <row r="52" spans="1:6" s="829" customFormat="1">
      <c r="A52" s="3340"/>
      <c r="B52" s="3347" t="s">
        <v>793</v>
      </c>
      <c r="C52" s="3346">
        <f>+C49</f>
        <v>6153270</v>
      </c>
      <c r="F52" s="830"/>
    </row>
    <row r="53" spans="1:6" s="829" customFormat="1">
      <c r="A53" s="3340"/>
      <c r="B53" s="3347" t="s">
        <v>794</v>
      </c>
      <c r="C53" s="3346">
        <f>+C50</f>
        <v>6153270</v>
      </c>
      <c r="F53" s="830"/>
    </row>
    <row r="54" spans="1:6" s="829" customFormat="1">
      <c r="A54" s="3332" t="s">
        <v>2602</v>
      </c>
      <c r="B54" s="3341" t="s">
        <v>2605</v>
      </c>
      <c r="C54" s="3342"/>
      <c r="F54" s="830"/>
    </row>
    <row r="55" spans="1:6" s="829" customFormat="1">
      <c r="A55" s="3340"/>
      <c r="B55" s="3343" t="s">
        <v>798</v>
      </c>
      <c r="C55" s="3342"/>
      <c r="F55" s="830"/>
    </row>
    <row r="56" spans="1:6" s="829" customFormat="1">
      <c r="A56" s="3340"/>
      <c r="B56" s="3344" t="s">
        <v>793</v>
      </c>
      <c r="C56" s="3342">
        <f>C59</f>
        <v>111759870</v>
      </c>
      <c r="F56" s="830"/>
    </row>
    <row r="57" spans="1:6" s="829" customFormat="1">
      <c r="A57" s="3340"/>
      <c r="B57" s="3344" t="s">
        <v>794</v>
      </c>
      <c r="C57" s="3342">
        <f>C60</f>
        <v>111759870</v>
      </c>
      <c r="F57" s="830"/>
    </row>
    <row r="58" spans="1:6" s="829" customFormat="1" ht="13.5" customHeight="1">
      <c r="A58" s="3340"/>
      <c r="B58" s="3345" t="s">
        <v>795</v>
      </c>
      <c r="C58" s="3346"/>
      <c r="F58" s="830"/>
    </row>
    <row r="59" spans="1:6" s="829" customFormat="1">
      <c r="A59" s="3340"/>
      <c r="B59" s="3347" t="s">
        <v>793</v>
      </c>
      <c r="C59" s="3346">
        <f>+'CONT EXECUTIE  '!C13</f>
        <v>111759870</v>
      </c>
      <c r="F59" s="830"/>
    </row>
    <row r="60" spans="1:6" s="829" customFormat="1">
      <c r="A60" s="3340"/>
      <c r="B60" s="3347" t="s">
        <v>794</v>
      </c>
      <c r="C60" s="3346">
        <f>+'CONT EXECUTIE  '!E13</f>
        <v>111759870</v>
      </c>
      <c r="F60" s="830"/>
    </row>
    <row r="61" spans="1:6" s="829" customFormat="1">
      <c r="A61" s="3337"/>
      <c r="B61" s="3338"/>
      <c r="C61" s="3339"/>
      <c r="F61" s="830"/>
    </row>
    <row r="62" spans="1:6" s="829" customFormat="1">
      <c r="A62" s="3337"/>
      <c r="B62" s="3338"/>
      <c r="C62" s="3339"/>
      <c r="F62" s="830"/>
    </row>
    <row r="63" spans="1:6" ht="15.75" customHeight="1">
      <c r="B63" s="33" t="str">
        <f>Programe!A107</f>
        <v>DIRECTOR  GENERAL,</v>
      </c>
      <c r="C63" s="4652" t="str">
        <f>Programe!E108</f>
        <v>DIRECTOR EXECUTIV ECONOMIC,</v>
      </c>
      <c r="D63" s="4652"/>
    </row>
    <row r="64" spans="1:6" ht="15.75">
      <c r="B64" s="33"/>
      <c r="C64" s="309"/>
      <c r="D64" s="808"/>
    </row>
    <row r="65" spans="2:5" ht="15.75">
      <c r="B65" s="772" t="str">
        <f>'ANEXA 1'!B96</f>
        <v>EC.ALBU DRINA</v>
      </c>
      <c r="C65" s="4653" t="str">
        <f>Programe!E110</f>
        <v>EC.BIRCU FLORINA</v>
      </c>
      <c r="D65" s="4653"/>
    </row>
    <row r="66" spans="2:5" s="850" customFormat="1" ht="15">
      <c r="B66" s="1126">
        <f>'ANEXA 1'!B97</f>
        <v>0</v>
      </c>
    </row>
    <row r="67" spans="2:5" s="850" customFormat="1" ht="15">
      <c r="B67" s="805"/>
      <c r="C67" s="805"/>
      <c r="D67" s="805"/>
    </row>
    <row r="68" spans="2:5" s="850" customFormat="1" ht="14.25">
      <c r="B68" s="786"/>
      <c r="C68" s="806"/>
      <c r="D68" s="773"/>
      <c r="E68" s="809"/>
    </row>
    <row r="71" spans="2:5" ht="14.25" customHeight="1"/>
  </sheetData>
  <sheetProtection password="CE96" sheet="1" objects="1" scenarios="1"/>
  <protectedRanges>
    <protectedRange sqref="B64" name="Zonă2_1"/>
  </protectedRanges>
  <mergeCells count="4">
    <mergeCell ref="A1:B1"/>
    <mergeCell ref="B4:C4"/>
    <mergeCell ref="C63:D63"/>
    <mergeCell ref="C65:D65"/>
  </mergeCells>
  <phoneticPr fontId="0" type="noConversion"/>
  <printOptions horizontalCentered="1"/>
  <pageMargins left="0.55118110236220474" right="0.15748031496062992" top="0.15748031496062992" bottom="0.19685039370078741" header="0.51181102362204722" footer="0.51181102362204722"/>
  <pageSetup paperSize="9" scale="86" firstPageNumber="0"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9">
    <tabColor indexed="13"/>
  </sheetPr>
  <dimension ref="A1:D35"/>
  <sheetViews>
    <sheetView showZeros="0" workbookViewId="0">
      <selection activeCell="C20" sqref="C20"/>
    </sheetView>
  </sheetViews>
  <sheetFormatPr defaultColWidth="9.140625" defaultRowHeight="12.75"/>
  <cols>
    <col min="1" max="1" width="9.140625" style="851"/>
    <col min="2" max="2" width="66.28515625" style="852" customWidth="1"/>
    <col min="3" max="3" width="27.7109375" style="851" customWidth="1"/>
    <col min="4" max="4" width="10.5703125" style="851" customWidth="1"/>
    <col min="5" max="16384" width="9.140625" style="851"/>
  </cols>
  <sheetData>
    <row r="1" spans="1:4" ht="15.75">
      <c r="A1" s="810" t="str">
        <f>+'F104 sint fin prog'!A1</f>
        <v>CASA  DE  ASIGURĂRI  DE  SĂNĂTATE MEHEDINTI</v>
      </c>
      <c r="B1" s="811"/>
      <c r="C1" s="815"/>
    </row>
    <row r="2" spans="1:4">
      <c r="B2" s="853"/>
      <c r="C2" s="815"/>
    </row>
    <row r="3" spans="1:4">
      <c r="B3" s="854"/>
    </row>
    <row r="4" spans="1:4">
      <c r="A4" s="4654" t="s">
        <v>1362</v>
      </c>
      <c r="B4" s="4654"/>
      <c r="C4" s="4654"/>
    </row>
    <row r="5" spans="1:4">
      <c r="B5" s="855"/>
      <c r="C5" s="855"/>
    </row>
    <row r="8" spans="1:4" ht="38.25">
      <c r="A8" s="3334" t="s">
        <v>2597</v>
      </c>
      <c r="B8" s="4655" t="s">
        <v>1363</v>
      </c>
      <c r="C8" s="4655"/>
    </row>
    <row r="9" spans="1:4">
      <c r="B9" s="857"/>
    </row>
    <row r="10" spans="1:4">
      <c r="C10" s="858" t="s">
        <v>1640</v>
      </c>
    </row>
    <row r="11" spans="1:4" ht="41.25" customHeight="1">
      <c r="A11" s="859"/>
      <c r="B11" s="860" t="s">
        <v>1364</v>
      </c>
      <c r="C11" s="1130" t="s">
        <v>2557</v>
      </c>
    </row>
    <row r="12" spans="1:4">
      <c r="A12" s="861"/>
      <c r="B12" s="861" t="s">
        <v>1365</v>
      </c>
      <c r="C12" s="862"/>
      <c r="D12" s="863"/>
    </row>
    <row r="13" spans="1:4">
      <c r="A13" s="864"/>
      <c r="B13" s="864" t="s">
        <v>793</v>
      </c>
      <c r="C13" s="865">
        <f>+C17</f>
        <v>41618820</v>
      </c>
      <c r="D13" s="866"/>
    </row>
    <row r="14" spans="1:4">
      <c r="A14" s="864"/>
      <c r="B14" s="864" t="s">
        <v>794</v>
      </c>
      <c r="C14" s="867">
        <f>+C18</f>
        <v>41992330</v>
      </c>
      <c r="D14" s="866"/>
    </row>
    <row r="15" spans="1:4">
      <c r="A15" s="864"/>
      <c r="B15" s="868" t="s">
        <v>795</v>
      </c>
      <c r="C15" s="867"/>
      <c r="D15" s="866"/>
    </row>
    <row r="16" spans="1:4">
      <c r="A16" s="869">
        <v>5005</v>
      </c>
      <c r="B16" s="870" t="s">
        <v>1366</v>
      </c>
      <c r="C16" s="865"/>
      <c r="D16" s="866"/>
    </row>
    <row r="17" spans="1:4">
      <c r="A17" s="869">
        <v>5005</v>
      </c>
      <c r="B17" s="864" t="s">
        <v>793</v>
      </c>
      <c r="C17" s="865">
        <f>+C20</f>
        <v>41618820</v>
      </c>
      <c r="D17" s="866"/>
    </row>
    <row r="18" spans="1:4">
      <c r="A18" s="869">
        <v>5005</v>
      </c>
      <c r="B18" s="864" t="s">
        <v>794</v>
      </c>
      <c r="C18" s="865">
        <f>+C21</f>
        <v>41992330</v>
      </c>
      <c r="D18" s="866"/>
    </row>
    <row r="19" spans="1:4">
      <c r="A19" s="869">
        <v>6605</v>
      </c>
      <c r="B19" s="870" t="s">
        <v>1367</v>
      </c>
      <c r="C19" s="865"/>
      <c r="D19" s="866"/>
    </row>
    <row r="20" spans="1:4">
      <c r="A20" s="869">
        <v>6605</v>
      </c>
      <c r="B20" s="864" t="s">
        <v>793</v>
      </c>
      <c r="C20" s="865">
        <f>+C23</f>
        <v>41618820</v>
      </c>
      <c r="D20" s="866"/>
    </row>
    <row r="21" spans="1:4">
      <c r="A21" s="869">
        <v>6605</v>
      </c>
      <c r="B21" s="864" t="s">
        <v>794</v>
      </c>
      <c r="C21" s="865">
        <f>+C24</f>
        <v>41992330</v>
      </c>
      <c r="D21" s="866"/>
    </row>
    <row r="22" spans="1:4">
      <c r="A22" s="869">
        <v>660520</v>
      </c>
      <c r="B22" s="870" t="s">
        <v>1368</v>
      </c>
      <c r="C22" s="865"/>
      <c r="D22" s="866"/>
    </row>
    <row r="23" spans="1:4">
      <c r="A23" s="869">
        <v>660520</v>
      </c>
      <c r="B23" s="864" t="s">
        <v>793</v>
      </c>
      <c r="C23" s="865">
        <f>+'F104 sint fin prog'!C24</f>
        <v>41618820</v>
      </c>
      <c r="D23" s="866"/>
    </row>
    <row r="24" spans="1:4">
      <c r="A24" s="869">
        <v>660520</v>
      </c>
      <c r="B24" s="864" t="s">
        <v>794</v>
      </c>
      <c r="C24" s="865">
        <f>+'F104 sint fin prog'!C25</f>
        <v>41992330</v>
      </c>
      <c r="D24" s="866"/>
    </row>
    <row r="25" spans="1:4">
      <c r="B25" s="871"/>
      <c r="C25" s="872"/>
    </row>
    <row r="27" spans="1:4">
      <c r="B27" s="873"/>
      <c r="C27" s="874"/>
    </row>
    <row r="28" spans="1:4" ht="15.75" customHeight="1">
      <c r="B28" s="1123" t="str">
        <f>+'F104 sint fin prog'!B63</f>
        <v>DIRECTOR  GENERAL,</v>
      </c>
      <c r="C28" s="4652" t="str">
        <f>+'F104 sint fin prog'!C63</f>
        <v>DIRECTOR EXECUTIV ECONOMIC,</v>
      </c>
      <c r="D28" s="4652"/>
    </row>
    <row r="29" spans="1:4" ht="15.75">
      <c r="B29" s="33"/>
      <c r="C29" s="309"/>
      <c r="D29" s="808"/>
    </row>
    <row r="30" spans="1:4" ht="15.75">
      <c r="B30" s="33" t="str">
        <f>'ANEXA 1'!B96</f>
        <v>EC.ALBU DRINA</v>
      </c>
      <c r="C30" s="4313" t="str">
        <f>'ANEXA 1'!D96</f>
        <v>EC.BIRCU FLORINA</v>
      </c>
      <c r="D30" s="4313"/>
    </row>
    <row r="31" spans="1:4" s="875" customFormat="1" ht="15">
      <c r="B31" s="1125">
        <f>'ANEXA 1'!B97</f>
        <v>0</v>
      </c>
      <c r="C31" s="814"/>
      <c r="D31" s="812"/>
    </row>
    <row r="32" spans="1:4" s="875" customFormat="1" ht="15.75">
      <c r="B32" s="309"/>
      <c r="C32" s="850"/>
      <c r="D32" s="850"/>
    </row>
    <row r="33" spans="2:4" s="875" customFormat="1" ht="15">
      <c r="B33" s="805"/>
      <c r="C33" s="805"/>
      <c r="D33" s="805"/>
    </row>
    <row r="34" spans="2:4" s="875" customFormat="1" ht="14.25">
      <c r="B34" s="786"/>
      <c r="C34" s="806"/>
      <c r="D34" s="773"/>
    </row>
    <row r="35" spans="2:4" ht="14.25" customHeight="1"/>
  </sheetData>
  <protectedRanges>
    <protectedRange sqref="B30:B31" name="Zonă2_1_1"/>
  </protectedRanges>
  <mergeCells count="4">
    <mergeCell ref="A4:C4"/>
    <mergeCell ref="B8:C8"/>
    <mergeCell ref="C28:D28"/>
    <mergeCell ref="C30:D30"/>
  </mergeCells>
  <phoneticPr fontId="0" type="noConversion"/>
  <printOptions horizontalCentered="1" verticalCentered="1"/>
  <pageMargins left="0.39374999999999999" right="0.19652777777777777" top="0.15763888888888888" bottom="0.15763888888888888" header="0.51180555555555551" footer="0.51180555555555551"/>
  <pageSetup paperSize="9" scale="70" firstPageNumber="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0">
    <tabColor indexed="13"/>
  </sheetPr>
  <dimension ref="A1:D35"/>
  <sheetViews>
    <sheetView showZeros="0" workbookViewId="0">
      <selection activeCell="C21" sqref="C21"/>
    </sheetView>
  </sheetViews>
  <sheetFormatPr defaultColWidth="9.140625" defaultRowHeight="12.75"/>
  <cols>
    <col min="1" max="1" width="9.140625" style="876"/>
    <col min="2" max="2" width="57.85546875" style="877" customWidth="1"/>
    <col min="3" max="3" width="34.5703125" style="876" customWidth="1"/>
    <col min="4" max="4" width="12.7109375" style="876" customWidth="1"/>
    <col min="5" max="16384" width="9.140625" style="876"/>
  </cols>
  <sheetData>
    <row r="1" spans="1:4" ht="15.75">
      <c r="A1" s="810" t="str">
        <f>'ANEXA 1'!A1:E1</f>
        <v>CASA  DE  ASIGURĂRI  DE  SĂNĂTATE MEHEDINTI</v>
      </c>
      <c r="B1" s="811"/>
      <c r="C1" s="815"/>
    </row>
    <row r="2" spans="1:4">
      <c r="B2" s="854"/>
      <c r="C2" s="815"/>
    </row>
    <row r="4" spans="1:4" ht="40.5" customHeight="1">
      <c r="A4" s="3323" t="s">
        <v>2598</v>
      </c>
      <c r="B4" s="4658" t="s">
        <v>1369</v>
      </c>
      <c r="C4" s="4658"/>
    </row>
    <row r="6" spans="1:4">
      <c r="B6" s="857"/>
      <c r="C6" s="857"/>
    </row>
    <row r="7" spans="1:4">
      <c r="B7" s="857"/>
      <c r="C7" s="878" t="s">
        <v>1640</v>
      </c>
    </row>
    <row r="8" spans="1:4" ht="26.25" customHeight="1">
      <c r="A8" s="879"/>
      <c r="B8" s="860" t="s">
        <v>1364</v>
      </c>
      <c r="C8" s="1130" t="s">
        <v>2557</v>
      </c>
    </row>
    <row r="9" spans="1:4">
      <c r="A9" s="879"/>
      <c r="B9" s="861" t="s">
        <v>1365</v>
      </c>
      <c r="C9" s="862"/>
    </row>
    <row r="10" spans="1:4">
      <c r="A10" s="879"/>
      <c r="B10" s="864" t="s">
        <v>793</v>
      </c>
      <c r="C10" s="1192">
        <f>+C15</f>
        <v>249963540</v>
      </c>
      <c r="D10" s="880"/>
    </row>
    <row r="11" spans="1:4" s="851" customFormat="1">
      <c r="A11" s="881"/>
      <c r="B11" s="864" t="s">
        <v>794</v>
      </c>
      <c r="C11" s="1192">
        <f>+C16</f>
        <v>219640850</v>
      </c>
      <c r="D11" s="880"/>
    </row>
    <row r="12" spans="1:4" s="851" customFormat="1">
      <c r="A12" s="881"/>
      <c r="B12" s="870" t="s">
        <v>1370</v>
      </c>
      <c r="C12" s="1193"/>
      <c r="D12" s="880"/>
    </row>
    <row r="13" spans="1:4" s="851" customFormat="1" ht="15" customHeight="1">
      <c r="A13" s="881"/>
      <c r="B13" s="868" t="s">
        <v>795</v>
      </c>
      <c r="C13" s="1193"/>
      <c r="D13" s="880"/>
    </row>
    <row r="14" spans="1:4" s="856" customFormat="1">
      <c r="A14" s="882">
        <v>5005</v>
      </c>
      <c r="B14" s="870" t="s">
        <v>1366</v>
      </c>
      <c r="C14" s="1194"/>
      <c r="D14" s="880"/>
    </row>
    <row r="15" spans="1:4">
      <c r="A15" s="882">
        <v>5005</v>
      </c>
      <c r="B15" s="864" t="s">
        <v>793</v>
      </c>
      <c r="C15" s="1192">
        <f>+C18</f>
        <v>249963540</v>
      </c>
      <c r="D15" s="880"/>
    </row>
    <row r="16" spans="1:4">
      <c r="A16" s="882">
        <v>5005</v>
      </c>
      <c r="B16" s="864" t="s">
        <v>794</v>
      </c>
      <c r="C16" s="1192">
        <f>+C19</f>
        <v>219640850</v>
      </c>
      <c r="D16" s="880"/>
    </row>
    <row r="17" spans="1:4">
      <c r="A17" s="882">
        <v>6605</v>
      </c>
      <c r="B17" s="870" t="s">
        <v>1367</v>
      </c>
      <c r="C17" s="1193"/>
      <c r="D17" s="880"/>
    </row>
    <row r="18" spans="1:4">
      <c r="A18" s="882">
        <v>6605</v>
      </c>
      <c r="B18" s="864" t="s">
        <v>793</v>
      </c>
      <c r="C18" s="1192">
        <f>+C21</f>
        <v>249963540</v>
      </c>
      <c r="D18" s="880"/>
    </row>
    <row r="19" spans="1:4">
      <c r="A19" s="882">
        <v>6605</v>
      </c>
      <c r="B19" s="864" t="s">
        <v>794</v>
      </c>
      <c r="C19" s="1192">
        <f>+C22</f>
        <v>219640850</v>
      </c>
      <c r="D19" s="880"/>
    </row>
    <row r="20" spans="1:4">
      <c r="A20" s="882">
        <v>660520</v>
      </c>
      <c r="B20" s="870" t="s">
        <v>1368</v>
      </c>
      <c r="C20" s="1193"/>
      <c r="D20" s="880"/>
    </row>
    <row r="21" spans="1:4">
      <c r="A21" s="882">
        <v>660520</v>
      </c>
      <c r="B21" s="864" t="s">
        <v>793</v>
      </c>
      <c r="C21" s="1192">
        <f>+'F104 sint fin prog'!C31</f>
        <v>249963540</v>
      </c>
      <c r="D21" s="880"/>
    </row>
    <row r="22" spans="1:4">
      <c r="A22" s="882">
        <v>660520</v>
      </c>
      <c r="B22" s="864" t="s">
        <v>794</v>
      </c>
      <c r="C22" s="1192">
        <f>+'F104 sint fin prog'!C32</f>
        <v>219640850</v>
      </c>
      <c r="D22" s="880"/>
    </row>
    <row r="23" spans="1:4" ht="13.5" customHeight="1">
      <c r="B23" s="883"/>
      <c r="C23" s="884"/>
    </row>
    <row r="24" spans="1:4">
      <c r="B24" s="885"/>
      <c r="C24" s="884"/>
    </row>
    <row r="25" spans="1:4" s="886" customFormat="1">
      <c r="B25" s="887"/>
      <c r="C25" s="888"/>
    </row>
    <row r="26" spans="1:4" s="886" customFormat="1" ht="15.75" customHeight="1">
      <c r="A26" s="618"/>
      <c r="B26" s="64" t="str">
        <f>+'105 fisa prog cu scop CURATIV'!B28</f>
        <v>DIRECTOR  GENERAL,</v>
      </c>
      <c r="C26" s="4656" t="str">
        <f>+'105 fisa prog cu scop CURATIV'!C28:D28</f>
        <v>DIRECTOR EXECUTIV ECONOMIC,</v>
      </c>
      <c r="D26" s="4656"/>
    </row>
    <row r="27" spans="1:4" s="886" customFormat="1" ht="15.75">
      <c r="A27" s="33"/>
      <c r="B27" s="309"/>
      <c r="C27" s="1079"/>
      <c r="D27" s="1080"/>
    </row>
    <row r="28" spans="1:4" s="886" customFormat="1" ht="15.75">
      <c r="A28" s="146"/>
      <c r="B28" s="33" t="str">
        <f>'ANEXA 1'!B96</f>
        <v>EC.ALBU DRINA</v>
      </c>
      <c r="C28" s="4657" t="str">
        <f>'ANEXA 1'!D96</f>
        <v>EC.BIRCU FLORINA</v>
      </c>
      <c r="D28" s="4657"/>
    </row>
    <row r="29" spans="1:4" s="886" customFormat="1" ht="15.75">
      <c r="A29" s="155"/>
      <c r="B29" s="1125">
        <f>'ANEXA 1'!B97</f>
        <v>0</v>
      </c>
      <c r="C29" s="812"/>
    </row>
    <row r="30" spans="1:4" s="886" customFormat="1" ht="15.75">
      <c r="A30" s="309"/>
      <c r="B30" s="850"/>
      <c r="C30" s="850"/>
    </row>
    <row r="31" spans="1:4" s="886" customFormat="1" ht="15.75">
      <c r="A31" s="309"/>
      <c r="B31" s="850"/>
      <c r="C31" s="850"/>
    </row>
    <row r="32" spans="1:4" ht="15">
      <c r="A32" s="805"/>
      <c r="B32" s="805"/>
      <c r="C32" s="805"/>
    </row>
    <row r="33" spans="1:3" s="851" customFormat="1" ht="14.25">
      <c r="A33" s="786"/>
      <c r="B33" s="806"/>
      <c r="C33" s="773"/>
    </row>
    <row r="35" spans="1:3" ht="14.25" customHeight="1"/>
  </sheetData>
  <sheetProtection password="CE96" sheet="1" objects="1" scenarios="1"/>
  <protectedRanges>
    <protectedRange sqref="A28" name="Zonă2_1_1_2"/>
  </protectedRanges>
  <mergeCells count="3">
    <mergeCell ref="C26:D26"/>
    <mergeCell ref="C28:D28"/>
    <mergeCell ref="B4:C4"/>
  </mergeCells>
  <phoneticPr fontId="0" type="noConversion"/>
  <printOptions horizontalCentered="1" verticalCentered="1"/>
  <pageMargins left="0.51180555555555551" right="0.15763888888888888" top="0.15763888888888888" bottom="0.15763888888888888" header="0.51180555555555551" footer="0.51180555555555551"/>
  <pageSetup paperSize="9" firstPageNumber="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1">
    <tabColor indexed="13"/>
  </sheetPr>
  <dimension ref="A1:E28"/>
  <sheetViews>
    <sheetView showZeros="0" workbookViewId="0">
      <selection activeCell="C21" sqref="C21"/>
    </sheetView>
  </sheetViews>
  <sheetFormatPr defaultColWidth="9.140625" defaultRowHeight="12.75"/>
  <cols>
    <col min="1" max="1" width="10.5703125" style="889" customWidth="1"/>
    <col min="2" max="2" width="57.85546875" style="890" customWidth="1"/>
    <col min="3" max="3" width="34.5703125" style="889" customWidth="1"/>
    <col min="4" max="5" width="12.7109375" style="889" customWidth="1"/>
    <col min="6" max="16384" width="9.140625" style="889"/>
  </cols>
  <sheetData>
    <row r="1" spans="1:5" ht="15.75">
      <c r="A1" s="891" t="str">
        <f>+'F105 SERVICII MEDICALE'!A1</f>
        <v>CASA  DE  ASIGURĂRI  DE  SĂNĂTATE MEHEDINTI</v>
      </c>
      <c r="B1" s="892"/>
      <c r="D1" s="893"/>
      <c r="E1" s="893"/>
    </row>
    <row r="2" spans="1:5">
      <c r="B2" s="894"/>
      <c r="D2" s="893"/>
      <c r="E2" s="893"/>
    </row>
    <row r="4" spans="1:5" ht="40.5" customHeight="1">
      <c r="A4" s="3333" t="s">
        <v>2596</v>
      </c>
      <c r="B4" s="4661" t="s">
        <v>1371</v>
      </c>
      <c r="C4" s="4661"/>
      <c r="D4" s="3331"/>
      <c r="E4" s="3331"/>
    </row>
    <row r="5" spans="1:5">
      <c r="B5" s="895"/>
      <c r="C5" s="895"/>
    </row>
    <row r="6" spans="1:5">
      <c r="B6" s="896"/>
      <c r="C6" s="896"/>
    </row>
    <row r="7" spans="1:5">
      <c r="B7" s="896"/>
      <c r="C7" s="897" t="s">
        <v>1640</v>
      </c>
    </row>
    <row r="8" spans="1:5" ht="26.25" customHeight="1">
      <c r="A8" s="898"/>
      <c r="B8" s="899" t="s">
        <v>1364</v>
      </c>
      <c r="C8" s="1130" t="s">
        <v>2557</v>
      </c>
    </row>
    <row r="9" spans="1:5">
      <c r="A9" s="898"/>
      <c r="B9" s="900" t="s">
        <v>1365</v>
      </c>
      <c r="C9" s="901"/>
    </row>
    <row r="10" spans="1:5">
      <c r="A10" s="898"/>
      <c r="B10" s="902" t="s">
        <v>793</v>
      </c>
      <c r="C10" s="1195">
        <f>+C15</f>
        <v>13000030</v>
      </c>
      <c r="D10" s="903"/>
      <c r="E10" s="904"/>
    </row>
    <row r="11" spans="1:5" s="906" customFormat="1">
      <c r="A11" s="905"/>
      <c r="B11" s="902" t="s">
        <v>794</v>
      </c>
      <c r="C11" s="1196">
        <f>+C16</f>
        <v>13648650</v>
      </c>
      <c r="D11" s="903"/>
      <c r="E11" s="904"/>
    </row>
    <row r="12" spans="1:5" s="906" customFormat="1" hidden="1">
      <c r="A12" s="905"/>
      <c r="B12" s="907" t="s">
        <v>1370</v>
      </c>
      <c r="C12" s="1197"/>
      <c r="D12" s="903"/>
    </row>
    <row r="13" spans="1:5" s="906" customFormat="1" ht="15" customHeight="1">
      <c r="A13" s="905"/>
      <c r="B13" s="908" t="s">
        <v>795</v>
      </c>
      <c r="C13" s="1197"/>
      <c r="D13" s="903"/>
    </row>
    <row r="14" spans="1:5" s="911" customFormat="1">
      <c r="A14" s="909">
        <v>5005</v>
      </c>
      <c r="B14" s="910" t="s">
        <v>1366</v>
      </c>
      <c r="C14" s="1198"/>
      <c r="D14" s="903"/>
    </row>
    <row r="15" spans="1:5">
      <c r="A15" s="909">
        <v>5005</v>
      </c>
      <c r="B15" s="902" t="s">
        <v>793</v>
      </c>
      <c r="C15" s="1195">
        <f>+C18</f>
        <v>13000030</v>
      </c>
      <c r="D15" s="903"/>
    </row>
    <row r="16" spans="1:5">
      <c r="A16" s="909">
        <v>5005</v>
      </c>
      <c r="B16" s="902" t="s">
        <v>794</v>
      </c>
      <c r="C16" s="1195">
        <f>+C19</f>
        <v>13648650</v>
      </c>
      <c r="D16" s="903"/>
    </row>
    <row r="17" spans="1:5">
      <c r="A17" s="909">
        <v>6605</v>
      </c>
      <c r="B17" s="910" t="s">
        <v>1367</v>
      </c>
      <c r="C17" s="1197"/>
      <c r="D17" s="903"/>
    </row>
    <row r="18" spans="1:5">
      <c r="A18" s="909">
        <v>6605</v>
      </c>
      <c r="B18" s="902" t="s">
        <v>793</v>
      </c>
      <c r="C18" s="1195">
        <f>C21</f>
        <v>13000030</v>
      </c>
      <c r="D18" s="903"/>
    </row>
    <row r="19" spans="1:5">
      <c r="A19" s="909">
        <v>6605</v>
      </c>
      <c r="B19" s="902" t="s">
        <v>794</v>
      </c>
      <c r="C19" s="1195">
        <f>C22</f>
        <v>13648650</v>
      </c>
      <c r="D19" s="903"/>
    </row>
    <row r="20" spans="1:5">
      <c r="A20" s="909">
        <v>660520</v>
      </c>
      <c r="B20" s="910" t="s">
        <v>1368</v>
      </c>
      <c r="C20" s="1197"/>
      <c r="D20" s="903"/>
    </row>
    <row r="21" spans="1:5">
      <c r="A21" s="909">
        <v>660520</v>
      </c>
      <c r="B21" s="902" t="s">
        <v>793</v>
      </c>
      <c r="C21" s="1195">
        <f>+'F104 sint fin prog'!C38</f>
        <v>13000030</v>
      </c>
      <c r="D21" s="903"/>
      <c r="E21" s="903"/>
    </row>
    <row r="22" spans="1:5">
      <c r="A22" s="909">
        <v>660520</v>
      </c>
      <c r="B22" s="902" t="s">
        <v>794</v>
      </c>
      <c r="C22" s="1195">
        <f>+'F104 sint fin prog'!C39</f>
        <v>13648650</v>
      </c>
      <c r="D22" s="903"/>
      <c r="E22" s="903"/>
    </row>
    <row r="23" spans="1:5" ht="13.5" customHeight="1">
      <c r="B23" s="912"/>
    </row>
    <row r="24" spans="1:5" ht="29.25" hidden="1" customHeight="1">
      <c r="A24" s="4659" t="s">
        <v>1372</v>
      </c>
      <c r="B24" s="4659"/>
      <c r="C24" s="4659"/>
      <c r="D24" s="4659"/>
      <c r="E24" s="4659"/>
    </row>
    <row r="25" spans="1:5" ht="29.25" customHeight="1">
      <c r="A25" s="913"/>
      <c r="B25" s="64" t="str">
        <f>+'F105 SERVICII MEDICALE'!B26</f>
        <v>DIRECTOR  GENERAL,</v>
      </c>
      <c r="C25" s="4656" t="str">
        <f>+'F105 SERVICII MEDICALE'!C26:D26</f>
        <v>DIRECTOR EXECUTIV ECONOMIC,</v>
      </c>
      <c r="D25" s="4656"/>
      <c r="E25" s="913"/>
    </row>
    <row r="26" spans="1:5" ht="14.25" customHeight="1">
      <c r="C26" s="1081"/>
      <c r="D26" s="1081"/>
    </row>
    <row r="27" spans="1:5" ht="14.25" customHeight="1">
      <c r="B27" s="927" t="str">
        <f>'ANEXA 1'!B96</f>
        <v>EC.ALBU DRINA</v>
      </c>
      <c r="C27" s="4660" t="str">
        <f>'ANEXA 1'!D96</f>
        <v>EC.BIRCU FLORINA</v>
      </c>
      <c r="D27" s="4660"/>
    </row>
    <row r="28" spans="1:5" ht="14.25" customHeight="1">
      <c r="B28" s="1127">
        <f>'ANEXA 1'!B97</f>
        <v>0</v>
      </c>
    </row>
  </sheetData>
  <sheetProtection password="CE96" sheet="1" objects="1" scenarios="1"/>
  <mergeCells count="4">
    <mergeCell ref="A24:E24"/>
    <mergeCell ref="C25:D25"/>
    <mergeCell ref="C27:D27"/>
    <mergeCell ref="B4:C4"/>
  </mergeCells>
  <phoneticPr fontId="0" type="noConversion"/>
  <printOptions horizontalCentered="1" verticalCentered="1"/>
  <pageMargins left="0.31527777777777777" right="0.15763888888888888" top="0.15763888888888888" bottom="0.15763888888888888" header="0.51180555555555551" footer="0.51180555555555551"/>
  <pageSetup paperSize="9" firstPageNumber="0"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9">
    <tabColor rgb="FFFFFF00"/>
  </sheetPr>
  <dimension ref="A1:E38"/>
  <sheetViews>
    <sheetView zoomScaleNormal="100" zoomScaleSheetLayoutView="90" workbookViewId="0">
      <selection activeCell="D12" sqref="D12"/>
    </sheetView>
  </sheetViews>
  <sheetFormatPr defaultRowHeight="14.25"/>
  <cols>
    <col min="1" max="1" width="13.85546875" style="3244" customWidth="1"/>
    <col min="2" max="2" width="11" style="3250" customWidth="1"/>
    <col min="3" max="3" width="77.42578125" style="3244" customWidth="1"/>
    <col min="4" max="4" width="23.140625" style="3244" customWidth="1"/>
    <col min="5" max="5" width="15.140625" style="3244" customWidth="1"/>
    <col min="6" max="256" width="9.140625" style="3244"/>
    <col min="257" max="257" width="13.85546875" style="3244" customWidth="1"/>
    <col min="258" max="258" width="11" style="3244" customWidth="1"/>
    <col min="259" max="259" width="77.42578125" style="3244" customWidth="1"/>
    <col min="260" max="260" width="23.140625" style="3244" customWidth="1"/>
    <col min="261" max="261" width="15.140625" style="3244" customWidth="1"/>
    <col min="262" max="512" width="9.140625" style="3244"/>
    <col min="513" max="513" width="13.85546875" style="3244" customWidth="1"/>
    <col min="514" max="514" width="11" style="3244" customWidth="1"/>
    <col min="515" max="515" width="77.42578125" style="3244" customWidth="1"/>
    <col min="516" max="516" width="23.140625" style="3244" customWidth="1"/>
    <col min="517" max="517" width="15.140625" style="3244" customWidth="1"/>
    <col min="518" max="768" width="9.140625" style="3244"/>
    <col min="769" max="769" width="13.85546875" style="3244" customWidth="1"/>
    <col min="770" max="770" width="11" style="3244" customWidth="1"/>
    <col min="771" max="771" width="77.42578125" style="3244" customWidth="1"/>
    <col min="772" max="772" width="23.140625" style="3244" customWidth="1"/>
    <col min="773" max="773" width="15.140625" style="3244" customWidth="1"/>
    <col min="774" max="1024" width="9.140625" style="3244"/>
    <col min="1025" max="1025" width="13.85546875" style="3244" customWidth="1"/>
    <col min="1026" max="1026" width="11" style="3244" customWidth="1"/>
    <col min="1027" max="1027" width="77.42578125" style="3244" customWidth="1"/>
    <col min="1028" max="1028" width="23.140625" style="3244" customWidth="1"/>
    <col min="1029" max="1029" width="15.140625" style="3244" customWidth="1"/>
    <col min="1030" max="1280" width="9.140625" style="3244"/>
    <col min="1281" max="1281" width="13.85546875" style="3244" customWidth="1"/>
    <col min="1282" max="1282" width="11" style="3244" customWidth="1"/>
    <col min="1283" max="1283" width="77.42578125" style="3244" customWidth="1"/>
    <col min="1284" max="1284" width="23.140625" style="3244" customWidth="1"/>
    <col min="1285" max="1285" width="15.140625" style="3244" customWidth="1"/>
    <col min="1286" max="1536" width="9.140625" style="3244"/>
    <col min="1537" max="1537" width="13.85546875" style="3244" customWidth="1"/>
    <col min="1538" max="1538" width="11" style="3244" customWidth="1"/>
    <col min="1539" max="1539" width="77.42578125" style="3244" customWidth="1"/>
    <col min="1540" max="1540" width="23.140625" style="3244" customWidth="1"/>
    <col min="1541" max="1541" width="15.140625" style="3244" customWidth="1"/>
    <col min="1542" max="1792" width="9.140625" style="3244"/>
    <col min="1793" max="1793" width="13.85546875" style="3244" customWidth="1"/>
    <col min="1794" max="1794" width="11" style="3244" customWidth="1"/>
    <col min="1795" max="1795" width="77.42578125" style="3244" customWidth="1"/>
    <col min="1796" max="1796" width="23.140625" style="3244" customWidth="1"/>
    <col min="1797" max="1797" width="15.140625" style="3244" customWidth="1"/>
    <col min="1798" max="2048" width="9.140625" style="3244"/>
    <col min="2049" max="2049" width="13.85546875" style="3244" customWidth="1"/>
    <col min="2050" max="2050" width="11" style="3244" customWidth="1"/>
    <col min="2051" max="2051" width="77.42578125" style="3244" customWidth="1"/>
    <col min="2052" max="2052" width="23.140625" style="3244" customWidth="1"/>
    <col min="2053" max="2053" width="15.140625" style="3244" customWidth="1"/>
    <col min="2054" max="2304" width="9.140625" style="3244"/>
    <col min="2305" max="2305" width="13.85546875" style="3244" customWidth="1"/>
    <col min="2306" max="2306" width="11" style="3244" customWidth="1"/>
    <col min="2307" max="2307" width="77.42578125" style="3244" customWidth="1"/>
    <col min="2308" max="2308" width="23.140625" style="3244" customWidth="1"/>
    <col min="2309" max="2309" width="15.140625" style="3244" customWidth="1"/>
    <col min="2310" max="2560" width="9.140625" style="3244"/>
    <col min="2561" max="2561" width="13.85546875" style="3244" customWidth="1"/>
    <col min="2562" max="2562" width="11" style="3244" customWidth="1"/>
    <col min="2563" max="2563" width="77.42578125" style="3244" customWidth="1"/>
    <col min="2564" max="2564" width="23.140625" style="3244" customWidth="1"/>
    <col min="2565" max="2565" width="15.140625" style="3244" customWidth="1"/>
    <col min="2566" max="2816" width="9.140625" style="3244"/>
    <col min="2817" max="2817" width="13.85546875" style="3244" customWidth="1"/>
    <col min="2818" max="2818" width="11" style="3244" customWidth="1"/>
    <col min="2819" max="2819" width="77.42578125" style="3244" customWidth="1"/>
    <col min="2820" max="2820" width="23.140625" style="3244" customWidth="1"/>
    <col min="2821" max="2821" width="15.140625" style="3244" customWidth="1"/>
    <col min="2822" max="3072" width="9.140625" style="3244"/>
    <col min="3073" max="3073" width="13.85546875" style="3244" customWidth="1"/>
    <col min="3074" max="3074" width="11" style="3244" customWidth="1"/>
    <col min="3075" max="3075" width="77.42578125" style="3244" customWidth="1"/>
    <col min="3076" max="3076" width="23.140625" style="3244" customWidth="1"/>
    <col min="3077" max="3077" width="15.140625" style="3244" customWidth="1"/>
    <col min="3078" max="3328" width="9.140625" style="3244"/>
    <col min="3329" max="3329" width="13.85546875" style="3244" customWidth="1"/>
    <col min="3330" max="3330" width="11" style="3244" customWidth="1"/>
    <col min="3331" max="3331" width="77.42578125" style="3244" customWidth="1"/>
    <col min="3332" max="3332" width="23.140625" style="3244" customWidth="1"/>
    <col min="3333" max="3333" width="15.140625" style="3244" customWidth="1"/>
    <col min="3334" max="3584" width="9.140625" style="3244"/>
    <col min="3585" max="3585" width="13.85546875" style="3244" customWidth="1"/>
    <col min="3586" max="3586" width="11" style="3244" customWidth="1"/>
    <col min="3587" max="3587" width="77.42578125" style="3244" customWidth="1"/>
    <col min="3588" max="3588" width="23.140625" style="3244" customWidth="1"/>
    <col min="3589" max="3589" width="15.140625" style="3244" customWidth="1"/>
    <col min="3590" max="3840" width="9.140625" style="3244"/>
    <col min="3841" max="3841" width="13.85546875" style="3244" customWidth="1"/>
    <col min="3842" max="3842" width="11" style="3244" customWidth="1"/>
    <col min="3843" max="3843" width="77.42578125" style="3244" customWidth="1"/>
    <col min="3844" max="3844" width="23.140625" style="3244" customWidth="1"/>
    <col min="3845" max="3845" width="15.140625" style="3244" customWidth="1"/>
    <col min="3846" max="4096" width="9.140625" style="3244"/>
    <col min="4097" max="4097" width="13.85546875" style="3244" customWidth="1"/>
    <col min="4098" max="4098" width="11" style="3244" customWidth="1"/>
    <col min="4099" max="4099" width="77.42578125" style="3244" customWidth="1"/>
    <col min="4100" max="4100" width="23.140625" style="3244" customWidth="1"/>
    <col min="4101" max="4101" width="15.140625" style="3244" customWidth="1"/>
    <col min="4102" max="4352" width="9.140625" style="3244"/>
    <col min="4353" max="4353" width="13.85546875" style="3244" customWidth="1"/>
    <col min="4354" max="4354" width="11" style="3244" customWidth="1"/>
    <col min="4355" max="4355" width="77.42578125" style="3244" customWidth="1"/>
    <col min="4356" max="4356" width="23.140625" style="3244" customWidth="1"/>
    <col min="4357" max="4357" width="15.140625" style="3244" customWidth="1"/>
    <col min="4358" max="4608" width="9.140625" style="3244"/>
    <col min="4609" max="4609" width="13.85546875" style="3244" customWidth="1"/>
    <col min="4610" max="4610" width="11" style="3244" customWidth="1"/>
    <col min="4611" max="4611" width="77.42578125" style="3244" customWidth="1"/>
    <col min="4612" max="4612" width="23.140625" style="3244" customWidth="1"/>
    <col min="4613" max="4613" width="15.140625" style="3244" customWidth="1"/>
    <col min="4614" max="4864" width="9.140625" style="3244"/>
    <col min="4865" max="4865" width="13.85546875" style="3244" customWidth="1"/>
    <col min="4866" max="4866" width="11" style="3244" customWidth="1"/>
    <col min="4867" max="4867" width="77.42578125" style="3244" customWidth="1"/>
    <col min="4868" max="4868" width="23.140625" style="3244" customWidth="1"/>
    <col min="4869" max="4869" width="15.140625" style="3244" customWidth="1"/>
    <col min="4870" max="5120" width="9.140625" style="3244"/>
    <col min="5121" max="5121" width="13.85546875" style="3244" customWidth="1"/>
    <col min="5122" max="5122" width="11" style="3244" customWidth="1"/>
    <col min="5123" max="5123" width="77.42578125" style="3244" customWidth="1"/>
    <col min="5124" max="5124" width="23.140625" style="3244" customWidth="1"/>
    <col min="5125" max="5125" width="15.140625" style="3244" customWidth="1"/>
    <col min="5126" max="5376" width="9.140625" style="3244"/>
    <col min="5377" max="5377" width="13.85546875" style="3244" customWidth="1"/>
    <col min="5378" max="5378" width="11" style="3244" customWidth="1"/>
    <col min="5379" max="5379" width="77.42578125" style="3244" customWidth="1"/>
    <col min="5380" max="5380" width="23.140625" style="3244" customWidth="1"/>
    <col min="5381" max="5381" width="15.140625" style="3244" customWidth="1"/>
    <col min="5382" max="5632" width="9.140625" style="3244"/>
    <col min="5633" max="5633" width="13.85546875" style="3244" customWidth="1"/>
    <col min="5634" max="5634" width="11" style="3244" customWidth="1"/>
    <col min="5635" max="5635" width="77.42578125" style="3244" customWidth="1"/>
    <col min="5636" max="5636" width="23.140625" style="3244" customWidth="1"/>
    <col min="5637" max="5637" width="15.140625" style="3244" customWidth="1"/>
    <col min="5638" max="5888" width="9.140625" style="3244"/>
    <col min="5889" max="5889" width="13.85546875" style="3244" customWidth="1"/>
    <col min="5890" max="5890" width="11" style="3244" customWidth="1"/>
    <col min="5891" max="5891" width="77.42578125" style="3244" customWidth="1"/>
    <col min="5892" max="5892" width="23.140625" style="3244" customWidth="1"/>
    <col min="5893" max="5893" width="15.140625" style="3244" customWidth="1"/>
    <col min="5894" max="6144" width="9.140625" style="3244"/>
    <col min="6145" max="6145" width="13.85546875" style="3244" customWidth="1"/>
    <col min="6146" max="6146" width="11" style="3244" customWidth="1"/>
    <col min="6147" max="6147" width="77.42578125" style="3244" customWidth="1"/>
    <col min="6148" max="6148" width="23.140625" style="3244" customWidth="1"/>
    <col min="6149" max="6149" width="15.140625" style="3244" customWidth="1"/>
    <col min="6150" max="6400" width="9.140625" style="3244"/>
    <col min="6401" max="6401" width="13.85546875" style="3244" customWidth="1"/>
    <col min="6402" max="6402" width="11" style="3244" customWidth="1"/>
    <col min="6403" max="6403" width="77.42578125" style="3244" customWidth="1"/>
    <col min="6404" max="6404" width="23.140625" style="3244" customWidth="1"/>
    <col min="6405" max="6405" width="15.140625" style="3244" customWidth="1"/>
    <col min="6406" max="6656" width="9.140625" style="3244"/>
    <col min="6657" max="6657" width="13.85546875" style="3244" customWidth="1"/>
    <col min="6658" max="6658" width="11" style="3244" customWidth="1"/>
    <col min="6659" max="6659" width="77.42578125" style="3244" customWidth="1"/>
    <col min="6660" max="6660" width="23.140625" style="3244" customWidth="1"/>
    <col min="6661" max="6661" width="15.140625" style="3244" customWidth="1"/>
    <col min="6662" max="6912" width="9.140625" style="3244"/>
    <col min="6913" max="6913" width="13.85546875" style="3244" customWidth="1"/>
    <col min="6914" max="6914" width="11" style="3244" customWidth="1"/>
    <col min="6915" max="6915" width="77.42578125" style="3244" customWidth="1"/>
    <col min="6916" max="6916" width="23.140625" style="3244" customWidth="1"/>
    <col min="6917" max="6917" width="15.140625" style="3244" customWidth="1"/>
    <col min="6918" max="7168" width="9.140625" style="3244"/>
    <col min="7169" max="7169" width="13.85546875" style="3244" customWidth="1"/>
    <col min="7170" max="7170" width="11" style="3244" customWidth="1"/>
    <col min="7171" max="7171" width="77.42578125" style="3244" customWidth="1"/>
    <col min="7172" max="7172" width="23.140625" style="3244" customWidth="1"/>
    <col min="7173" max="7173" width="15.140625" style="3244" customWidth="1"/>
    <col min="7174" max="7424" width="9.140625" style="3244"/>
    <col min="7425" max="7425" width="13.85546875" style="3244" customWidth="1"/>
    <col min="7426" max="7426" width="11" style="3244" customWidth="1"/>
    <col min="7427" max="7427" width="77.42578125" style="3244" customWidth="1"/>
    <col min="7428" max="7428" width="23.140625" style="3244" customWidth="1"/>
    <col min="7429" max="7429" width="15.140625" style="3244" customWidth="1"/>
    <col min="7430" max="7680" width="9.140625" style="3244"/>
    <col min="7681" max="7681" width="13.85546875" style="3244" customWidth="1"/>
    <col min="7682" max="7682" width="11" style="3244" customWidth="1"/>
    <col min="7683" max="7683" width="77.42578125" style="3244" customWidth="1"/>
    <col min="7684" max="7684" width="23.140625" style="3244" customWidth="1"/>
    <col min="7685" max="7685" width="15.140625" style="3244" customWidth="1"/>
    <col min="7686" max="7936" width="9.140625" style="3244"/>
    <col min="7937" max="7937" width="13.85546875" style="3244" customWidth="1"/>
    <col min="7938" max="7938" width="11" style="3244" customWidth="1"/>
    <col min="7939" max="7939" width="77.42578125" style="3244" customWidth="1"/>
    <col min="7940" max="7940" width="23.140625" style="3244" customWidth="1"/>
    <col min="7941" max="7941" width="15.140625" style="3244" customWidth="1"/>
    <col min="7942" max="8192" width="9.140625" style="3244"/>
    <col min="8193" max="8193" width="13.85546875" style="3244" customWidth="1"/>
    <col min="8194" max="8194" width="11" style="3244" customWidth="1"/>
    <col min="8195" max="8195" width="77.42578125" style="3244" customWidth="1"/>
    <col min="8196" max="8196" width="23.140625" style="3244" customWidth="1"/>
    <col min="8197" max="8197" width="15.140625" style="3244" customWidth="1"/>
    <col min="8198" max="8448" width="9.140625" style="3244"/>
    <col min="8449" max="8449" width="13.85546875" style="3244" customWidth="1"/>
    <col min="8450" max="8450" width="11" style="3244" customWidth="1"/>
    <col min="8451" max="8451" width="77.42578125" style="3244" customWidth="1"/>
    <col min="8452" max="8452" width="23.140625" style="3244" customWidth="1"/>
    <col min="8453" max="8453" width="15.140625" style="3244" customWidth="1"/>
    <col min="8454" max="8704" width="9.140625" style="3244"/>
    <col min="8705" max="8705" width="13.85546875" style="3244" customWidth="1"/>
    <col min="8706" max="8706" width="11" style="3244" customWidth="1"/>
    <col min="8707" max="8707" width="77.42578125" style="3244" customWidth="1"/>
    <col min="8708" max="8708" width="23.140625" style="3244" customWidth="1"/>
    <col min="8709" max="8709" width="15.140625" style="3244" customWidth="1"/>
    <col min="8710" max="8960" width="9.140625" style="3244"/>
    <col min="8961" max="8961" width="13.85546875" style="3244" customWidth="1"/>
    <col min="8962" max="8962" width="11" style="3244" customWidth="1"/>
    <col min="8963" max="8963" width="77.42578125" style="3244" customWidth="1"/>
    <col min="8964" max="8964" width="23.140625" style="3244" customWidth="1"/>
    <col min="8965" max="8965" width="15.140625" style="3244" customWidth="1"/>
    <col min="8966" max="9216" width="9.140625" style="3244"/>
    <col min="9217" max="9217" width="13.85546875" style="3244" customWidth="1"/>
    <col min="9218" max="9218" width="11" style="3244" customWidth="1"/>
    <col min="9219" max="9219" width="77.42578125" style="3244" customWidth="1"/>
    <col min="9220" max="9220" width="23.140625" style="3244" customWidth="1"/>
    <col min="9221" max="9221" width="15.140625" style="3244" customWidth="1"/>
    <col min="9222" max="9472" width="9.140625" style="3244"/>
    <col min="9473" max="9473" width="13.85546875" style="3244" customWidth="1"/>
    <col min="9474" max="9474" width="11" style="3244" customWidth="1"/>
    <col min="9475" max="9475" width="77.42578125" style="3244" customWidth="1"/>
    <col min="9476" max="9476" width="23.140625" style="3244" customWidth="1"/>
    <col min="9477" max="9477" width="15.140625" style="3244" customWidth="1"/>
    <col min="9478" max="9728" width="9.140625" style="3244"/>
    <col min="9729" max="9729" width="13.85546875" style="3244" customWidth="1"/>
    <col min="9730" max="9730" width="11" style="3244" customWidth="1"/>
    <col min="9731" max="9731" width="77.42578125" style="3244" customWidth="1"/>
    <col min="9732" max="9732" width="23.140625" style="3244" customWidth="1"/>
    <col min="9733" max="9733" width="15.140625" style="3244" customWidth="1"/>
    <col min="9734" max="9984" width="9.140625" style="3244"/>
    <col min="9985" max="9985" width="13.85546875" style="3244" customWidth="1"/>
    <col min="9986" max="9986" width="11" style="3244" customWidth="1"/>
    <col min="9987" max="9987" width="77.42578125" style="3244" customWidth="1"/>
    <col min="9988" max="9988" width="23.140625" style="3244" customWidth="1"/>
    <col min="9989" max="9989" width="15.140625" style="3244" customWidth="1"/>
    <col min="9990" max="10240" width="9.140625" style="3244"/>
    <col min="10241" max="10241" width="13.85546875" style="3244" customWidth="1"/>
    <col min="10242" max="10242" width="11" style="3244" customWidth="1"/>
    <col min="10243" max="10243" width="77.42578125" style="3244" customWidth="1"/>
    <col min="10244" max="10244" width="23.140625" style="3244" customWidth="1"/>
    <col min="10245" max="10245" width="15.140625" style="3244" customWidth="1"/>
    <col min="10246" max="10496" width="9.140625" style="3244"/>
    <col min="10497" max="10497" width="13.85546875" style="3244" customWidth="1"/>
    <col min="10498" max="10498" width="11" style="3244" customWidth="1"/>
    <col min="10499" max="10499" width="77.42578125" style="3244" customWidth="1"/>
    <col min="10500" max="10500" width="23.140625" style="3244" customWidth="1"/>
    <col min="10501" max="10501" width="15.140625" style="3244" customWidth="1"/>
    <col min="10502" max="10752" width="9.140625" style="3244"/>
    <col min="10753" max="10753" width="13.85546875" style="3244" customWidth="1"/>
    <col min="10754" max="10754" width="11" style="3244" customWidth="1"/>
    <col min="10755" max="10755" width="77.42578125" style="3244" customWidth="1"/>
    <col min="10756" max="10756" width="23.140625" style="3244" customWidth="1"/>
    <col min="10757" max="10757" width="15.140625" style="3244" customWidth="1"/>
    <col min="10758" max="11008" width="9.140625" style="3244"/>
    <col min="11009" max="11009" width="13.85546875" style="3244" customWidth="1"/>
    <col min="11010" max="11010" width="11" style="3244" customWidth="1"/>
    <col min="11011" max="11011" width="77.42578125" style="3244" customWidth="1"/>
    <col min="11012" max="11012" width="23.140625" style="3244" customWidth="1"/>
    <col min="11013" max="11013" width="15.140625" style="3244" customWidth="1"/>
    <col min="11014" max="11264" width="9.140625" style="3244"/>
    <col min="11265" max="11265" width="13.85546875" style="3244" customWidth="1"/>
    <col min="11266" max="11266" width="11" style="3244" customWidth="1"/>
    <col min="11267" max="11267" width="77.42578125" style="3244" customWidth="1"/>
    <col min="11268" max="11268" width="23.140625" style="3244" customWidth="1"/>
    <col min="11269" max="11269" width="15.140625" style="3244" customWidth="1"/>
    <col min="11270" max="11520" width="9.140625" style="3244"/>
    <col min="11521" max="11521" width="13.85546875" style="3244" customWidth="1"/>
    <col min="11522" max="11522" width="11" style="3244" customWidth="1"/>
    <col min="11523" max="11523" width="77.42578125" style="3244" customWidth="1"/>
    <col min="11524" max="11524" width="23.140625" style="3244" customWidth="1"/>
    <col min="11525" max="11525" width="15.140625" style="3244" customWidth="1"/>
    <col min="11526" max="11776" width="9.140625" style="3244"/>
    <col min="11777" max="11777" width="13.85546875" style="3244" customWidth="1"/>
    <col min="11778" max="11778" width="11" style="3244" customWidth="1"/>
    <col min="11779" max="11779" width="77.42578125" style="3244" customWidth="1"/>
    <col min="11780" max="11780" width="23.140625" style="3244" customWidth="1"/>
    <col min="11781" max="11781" width="15.140625" style="3244" customWidth="1"/>
    <col min="11782" max="12032" width="9.140625" style="3244"/>
    <col min="12033" max="12033" width="13.85546875" style="3244" customWidth="1"/>
    <col min="12034" max="12034" width="11" style="3244" customWidth="1"/>
    <col min="12035" max="12035" width="77.42578125" style="3244" customWidth="1"/>
    <col min="12036" max="12036" width="23.140625" style="3244" customWidth="1"/>
    <col min="12037" max="12037" width="15.140625" style="3244" customWidth="1"/>
    <col min="12038" max="12288" width="9.140625" style="3244"/>
    <col min="12289" max="12289" width="13.85546875" style="3244" customWidth="1"/>
    <col min="12290" max="12290" width="11" style="3244" customWidth="1"/>
    <col min="12291" max="12291" width="77.42578125" style="3244" customWidth="1"/>
    <col min="12292" max="12292" width="23.140625" style="3244" customWidth="1"/>
    <col min="12293" max="12293" width="15.140625" style="3244" customWidth="1"/>
    <col min="12294" max="12544" width="9.140625" style="3244"/>
    <col min="12545" max="12545" width="13.85546875" style="3244" customWidth="1"/>
    <col min="12546" max="12546" width="11" style="3244" customWidth="1"/>
    <col min="12547" max="12547" width="77.42578125" style="3244" customWidth="1"/>
    <col min="12548" max="12548" width="23.140625" style="3244" customWidth="1"/>
    <col min="12549" max="12549" width="15.140625" style="3244" customWidth="1"/>
    <col min="12550" max="12800" width="9.140625" style="3244"/>
    <col min="12801" max="12801" width="13.85546875" style="3244" customWidth="1"/>
    <col min="12802" max="12802" width="11" style="3244" customWidth="1"/>
    <col min="12803" max="12803" width="77.42578125" style="3244" customWidth="1"/>
    <col min="12804" max="12804" width="23.140625" style="3244" customWidth="1"/>
    <col min="12805" max="12805" width="15.140625" style="3244" customWidth="1"/>
    <col min="12806" max="13056" width="9.140625" style="3244"/>
    <col min="13057" max="13057" width="13.85546875" style="3244" customWidth="1"/>
    <col min="13058" max="13058" width="11" style="3244" customWidth="1"/>
    <col min="13059" max="13059" width="77.42578125" style="3244" customWidth="1"/>
    <col min="13060" max="13060" width="23.140625" style="3244" customWidth="1"/>
    <col min="13061" max="13061" width="15.140625" style="3244" customWidth="1"/>
    <col min="13062" max="13312" width="9.140625" style="3244"/>
    <col min="13313" max="13313" width="13.85546875" style="3244" customWidth="1"/>
    <col min="13314" max="13314" width="11" style="3244" customWidth="1"/>
    <col min="13315" max="13315" width="77.42578125" style="3244" customWidth="1"/>
    <col min="13316" max="13316" width="23.140625" style="3244" customWidth="1"/>
    <col min="13317" max="13317" width="15.140625" style="3244" customWidth="1"/>
    <col min="13318" max="13568" width="9.140625" style="3244"/>
    <col min="13569" max="13569" width="13.85546875" style="3244" customWidth="1"/>
    <col min="13570" max="13570" width="11" style="3244" customWidth="1"/>
    <col min="13571" max="13571" width="77.42578125" style="3244" customWidth="1"/>
    <col min="13572" max="13572" width="23.140625" style="3244" customWidth="1"/>
    <col min="13573" max="13573" width="15.140625" style="3244" customWidth="1"/>
    <col min="13574" max="13824" width="9.140625" style="3244"/>
    <col min="13825" max="13825" width="13.85546875" style="3244" customWidth="1"/>
    <col min="13826" max="13826" width="11" style="3244" customWidth="1"/>
    <col min="13827" max="13827" width="77.42578125" style="3244" customWidth="1"/>
    <col min="13828" max="13828" width="23.140625" style="3244" customWidth="1"/>
    <col min="13829" max="13829" width="15.140625" style="3244" customWidth="1"/>
    <col min="13830" max="14080" width="9.140625" style="3244"/>
    <col min="14081" max="14081" width="13.85546875" style="3244" customWidth="1"/>
    <col min="14082" max="14082" width="11" style="3244" customWidth="1"/>
    <col min="14083" max="14083" width="77.42578125" style="3244" customWidth="1"/>
    <col min="14084" max="14084" width="23.140625" style="3244" customWidth="1"/>
    <col min="14085" max="14085" width="15.140625" style="3244" customWidth="1"/>
    <col min="14086" max="14336" width="9.140625" style="3244"/>
    <col min="14337" max="14337" width="13.85546875" style="3244" customWidth="1"/>
    <col min="14338" max="14338" width="11" style="3244" customWidth="1"/>
    <col min="14339" max="14339" width="77.42578125" style="3244" customWidth="1"/>
    <col min="14340" max="14340" width="23.140625" style="3244" customWidth="1"/>
    <col min="14341" max="14341" width="15.140625" style="3244" customWidth="1"/>
    <col min="14342" max="14592" width="9.140625" style="3244"/>
    <col min="14593" max="14593" width="13.85546875" style="3244" customWidth="1"/>
    <col min="14594" max="14594" width="11" style="3244" customWidth="1"/>
    <col min="14595" max="14595" width="77.42578125" style="3244" customWidth="1"/>
    <col min="14596" max="14596" width="23.140625" style="3244" customWidth="1"/>
    <col min="14597" max="14597" width="15.140625" style="3244" customWidth="1"/>
    <col min="14598" max="14848" width="9.140625" style="3244"/>
    <col min="14849" max="14849" width="13.85546875" style="3244" customWidth="1"/>
    <col min="14850" max="14850" width="11" style="3244" customWidth="1"/>
    <col min="14851" max="14851" width="77.42578125" style="3244" customWidth="1"/>
    <col min="14852" max="14852" width="23.140625" style="3244" customWidth="1"/>
    <col min="14853" max="14853" width="15.140625" style="3244" customWidth="1"/>
    <col min="14854" max="15104" width="9.140625" style="3244"/>
    <col min="15105" max="15105" width="13.85546875" style="3244" customWidth="1"/>
    <col min="15106" max="15106" width="11" style="3244" customWidth="1"/>
    <col min="15107" max="15107" width="77.42578125" style="3244" customWidth="1"/>
    <col min="15108" max="15108" width="23.140625" style="3244" customWidth="1"/>
    <col min="15109" max="15109" width="15.140625" style="3244" customWidth="1"/>
    <col min="15110" max="15360" width="9.140625" style="3244"/>
    <col min="15361" max="15361" width="13.85546875" style="3244" customWidth="1"/>
    <col min="15362" max="15362" width="11" style="3244" customWidth="1"/>
    <col min="15363" max="15363" width="77.42578125" style="3244" customWidth="1"/>
    <col min="15364" max="15364" width="23.140625" style="3244" customWidth="1"/>
    <col min="15365" max="15365" width="15.140625" style="3244" customWidth="1"/>
    <col min="15366" max="15616" width="9.140625" style="3244"/>
    <col min="15617" max="15617" width="13.85546875" style="3244" customWidth="1"/>
    <col min="15618" max="15618" width="11" style="3244" customWidth="1"/>
    <col min="15619" max="15619" width="77.42578125" style="3244" customWidth="1"/>
    <col min="15620" max="15620" width="23.140625" style="3244" customWidth="1"/>
    <col min="15621" max="15621" width="15.140625" style="3244" customWidth="1"/>
    <col min="15622" max="15872" width="9.140625" style="3244"/>
    <col min="15873" max="15873" width="13.85546875" style="3244" customWidth="1"/>
    <col min="15874" max="15874" width="11" style="3244" customWidth="1"/>
    <col min="15875" max="15875" width="77.42578125" style="3244" customWidth="1"/>
    <col min="15876" max="15876" width="23.140625" style="3244" customWidth="1"/>
    <col min="15877" max="15877" width="15.140625" style="3244" customWidth="1"/>
    <col min="15878" max="16128" width="9.140625" style="3244"/>
    <col min="16129" max="16129" width="13.85546875" style="3244" customWidth="1"/>
    <col min="16130" max="16130" width="11" style="3244" customWidth="1"/>
    <col min="16131" max="16131" width="77.42578125" style="3244" customWidth="1"/>
    <col min="16132" max="16132" width="23.140625" style="3244" customWidth="1"/>
    <col min="16133" max="16133" width="15.140625" style="3244" customWidth="1"/>
    <col min="16134" max="16384" width="9.140625" style="3244"/>
  </cols>
  <sheetData>
    <row r="1" spans="1:5" ht="15">
      <c r="A1" s="3243" t="str">
        <f>+'F105 CV-CVR'!A1</f>
        <v>CASA  DE  ASIGURĂRI  DE  SĂNĂTATE MEHEDINTI</v>
      </c>
      <c r="B1" s="3243"/>
      <c r="D1" s="4662"/>
      <c r="E1" s="4662"/>
    </row>
    <row r="2" spans="1:5" ht="15">
      <c r="B2" s="3245"/>
      <c r="D2" s="4662"/>
      <c r="E2" s="4662"/>
    </row>
    <row r="3" spans="1:5" ht="15">
      <c r="B3" s="3246"/>
    </row>
    <row r="4" spans="1:5" ht="47.25" customHeight="1">
      <c r="A4" s="3251" t="s">
        <v>2590</v>
      </c>
      <c r="B4" s="4663" t="s">
        <v>2589</v>
      </c>
      <c r="C4" s="4663"/>
      <c r="D4" s="4663"/>
      <c r="E4" s="4663"/>
    </row>
    <row r="5" spans="1:5" ht="15">
      <c r="B5" s="3248"/>
      <c r="C5" s="3248"/>
    </row>
    <row r="6" spans="1:5" ht="15">
      <c r="B6" s="3247"/>
      <c r="C6" s="3247"/>
      <c r="D6" s="3249"/>
    </row>
    <row r="8" spans="1:5" ht="15">
      <c r="A8" s="3251"/>
      <c r="B8" s="3335"/>
      <c r="C8" s="3335"/>
      <c r="D8" s="3335"/>
      <c r="E8" s="3335"/>
    </row>
    <row r="9" spans="1:5" ht="15">
      <c r="B9" s="3252"/>
    </row>
    <row r="10" spans="1:5" ht="27.75" customHeight="1">
      <c r="B10" s="3252"/>
      <c r="C10" s="3252"/>
      <c r="D10" s="3252"/>
      <c r="E10" s="3252"/>
    </row>
    <row r="11" spans="1:5">
      <c r="B11" s="3244"/>
      <c r="C11" s="3250"/>
      <c r="D11" s="3254" t="s">
        <v>1640</v>
      </c>
    </row>
    <row r="12" spans="1:5" ht="15">
      <c r="B12" s="3255"/>
      <c r="C12" s="3256" t="s">
        <v>1364</v>
      </c>
      <c r="D12" s="3257" t="s">
        <v>2607</v>
      </c>
    </row>
    <row r="13" spans="1:5" ht="15">
      <c r="B13" s="3258"/>
      <c r="C13" s="3258" t="s">
        <v>1365</v>
      </c>
      <c r="D13" s="3259"/>
    </row>
    <row r="14" spans="1:5">
      <c r="B14" s="3260"/>
      <c r="C14" s="3260" t="s">
        <v>793</v>
      </c>
      <c r="D14" s="3261">
        <f>D18</f>
        <v>111759870</v>
      </c>
    </row>
    <row r="15" spans="1:5">
      <c r="B15" s="3260"/>
      <c r="C15" s="3260" t="s">
        <v>794</v>
      </c>
      <c r="D15" s="3262">
        <f>D19</f>
        <v>111759870</v>
      </c>
    </row>
    <row r="16" spans="1:5" ht="15">
      <c r="B16" s="3260"/>
      <c r="C16" s="3263" t="s">
        <v>795</v>
      </c>
      <c r="D16" s="3262"/>
    </row>
    <row r="17" spans="2:5" ht="15">
      <c r="B17" s="3264">
        <v>5005</v>
      </c>
      <c r="C17" s="3265" t="s">
        <v>1366</v>
      </c>
      <c r="D17" s="3261"/>
    </row>
    <row r="18" spans="2:5" ht="15">
      <c r="B18" s="3264"/>
      <c r="C18" s="3260" t="s">
        <v>793</v>
      </c>
      <c r="D18" s="3261">
        <f>D21</f>
        <v>111759870</v>
      </c>
    </row>
    <row r="19" spans="2:5" ht="15">
      <c r="B19" s="3264"/>
      <c r="C19" s="3260" t="s">
        <v>794</v>
      </c>
      <c r="D19" s="3261">
        <f>D22</f>
        <v>111759870</v>
      </c>
    </row>
    <row r="20" spans="2:5" s="3268" customFormat="1" ht="15">
      <c r="B20" s="3266">
        <v>6605</v>
      </c>
      <c r="C20" s="3265" t="s">
        <v>1367</v>
      </c>
      <c r="D20" s="3267"/>
    </row>
    <row r="21" spans="2:5" s="3268" customFormat="1" ht="15">
      <c r="B21" s="3266"/>
      <c r="C21" s="3260" t="s">
        <v>793</v>
      </c>
      <c r="D21" s="3262">
        <f>D24</f>
        <v>111759870</v>
      </c>
    </row>
    <row r="22" spans="2:5" s="3268" customFormat="1" ht="15">
      <c r="B22" s="3266"/>
      <c r="C22" s="3260" t="s">
        <v>794</v>
      </c>
      <c r="D22" s="3262">
        <f>D25</f>
        <v>111759870</v>
      </c>
    </row>
    <row r="23" spans="2:5" ht="30">
      <c r="B23" s="3264">
        <v>660551</v>
      </c>
      <c r="C23" s="3265" t="s">
        <v>2591</v>
      </c>
      <c r="D23" s="3261"/>
    </row>
    <row r="24" spans="2:5" ht="15">
      <c r="B24" s="3264"/>
      <c r="C24" s="3260" t="s">
        <v>793</v>
      </c>
      <c r="D24" s="3261">
        <f>+'F104 sint fin prog'!C59</f>
        <v>111759870</v>
      </c>
      <c r="E24" s="3269"/>
    </row>
    <row r="25" spans="2:5" ht="15">
      <c r="B25" s="3264"/>
      <c r="C25" s="3260" t="s">
        <v>794</v>
      </c>
      <c r="D25" s="3261">
        <f>+'F104 sint fin prog'!C60</f>
        <v>111759870</v>
      </c>
      <c r="E25" s="3269"/>
    </row>
    <row r="26" spans="2:5" ht="15">
      <c r="B26" s="3270"/>
      <c r="C26" s="3271"/>
      <c r="D26" s="3272"/>
    </row>
    <row r="27" spans="2:5" ht="15">
      <c r="B27" s="3273"/>
      <c r="C27" s="3268"/>
    </row>
    <row r="28" spans="2:5" ht="20.25" customHeight="1">
      <c r="B28" s="3253"/>
      <c r="C28" s="3253" t="str">
        <f>+'105 fisa prog cu scop CURATIV'!B28</f>
        <v>DIRECTOR  GENERAL,</v>
      </c>
      <c r="D28" s="3350" t="str">
        <f>+'CONT 473'!D20:F20</f>
        <v>DIRECTOR  EXECUTIV  ECONOMIC,</v>
      </c>
      <c r="E28" s="3274"/>
    </row>
    <row r="29" spans="2:5" ht="27" customHeight="1">
      <c r="B29" s="3253"/>
      <c r="C29" s="3253"/>
      <c r="D29" s="3350"/>
      <c r="E29" s="3253"/>
    </row>
    <row r="30" spans="2:5" ht="15">
      <c r="B30" s="3275"/>
      <c r="C30" s="3253" t="str">
        <f>+'F105 CV-CVR'!B27</f>
        <v>EC.ALBU DRINA</v>
      </c>
      <c r="D30" s="3350" t="str">
        <f>+'CONT 473'!D22:F22</f>
        <v>EC.BIRCU FLORINA</v>
      </c>
    </row>
    <row r="31" spans="2:5" ht="15">
      <c r="B31" s="3349"/>
      <c r="C31" s="3253">
        <f>+'F105 CV-CVR'!B28</f>
        <v>0</v>
      </c>
    </row>
    <row r="32" spans="2:5" ht="15">
      <c r="B32" s="3348"/>
      <c r="C32" s="3348"/>
    </row>
    <row r="33" spans="2:3">
      <c r="B33" s="3276"/>
      <c r="C33" s="3277"/>
    </row>
    <row r="34" spans="2:3" s="3279" customFormat="1">
      <c r="B34" s="3278"/>
      <c r="C34" s="3277"/>
    </row>
    <row r="35" spans="2:3" s="3279" customFormat="1" hidden="1">
      <c r="B35" s="3280"/>
      <c r="C35" s="3280"/>
    </row>
    <row r="36" spans="2:3" s="3279" customFormat="1">
      <c r="B36" s="3277"/>
      <c r="C36" s="3280"/>
    </row>
    <row r="37" spans="2:3" s="3279" customFormat="1" ht="15">
      <c r="B37" s="3281"/>
      <c r="C37" s="3282"/>
    </row>
    <row r="38" spans="2:3" s="3279" customFormat="1" ht="14.25" customHeight="1">
      <c r="B38" s="3283"/>
      <c r="C38" s="3284"/>
    </row>
  </sheetData>
  <sheetProtection password="CED6" sheet="1" objects="1" scenarios="1"/>
  <mergeCells count="3">
    <mergeCell ref="D1:E1"/>
    <mergeCell ref="D2:E2"/>
    <mergeCell ref="B4:E4"/>
  </mergeCells>
  <printOptions horizontalCentered="1"/>
  <pageMargins left="0.45" right="0.2" top="0.67" bottom="0.17" header="0.16" footer="0.16"/>
  <pageSetup paperSize="9" scale="70" orientation="portrait" r:id="rId1"/>
  <headerFooter alignWithMargins="0"/>
  <rowBreaks count="1" manualBreakCount="1">
    <brk id="37" min="1" max="8"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0">
    <tabColor rgb="FFFFFF00"/>
  </sheetPr>
  <dimension ref="A1:E52"/>
  <sheetViews>
    <sheetView zoomScaleNormal="100" zoomScaleSheetLayoutView="100" workbookViewId="0">
      <selection activeCell="E18" sqref="E18"/>
    </sheetView>
  </sheetViews>
  <sheetFormatPr defaultRowHeight="12.75"/>
  <cols>
    <col min="1" max="1" width="14.85546875" style="3287" customWidth="1"/>
    <col min="2" max="2" width="66.28515625" style="3296" customWidth="1"/>
    <col min="3" max="3" width="27.7109375" style="3287" customWidth="1"/>
    <col min="4" max="4" width="13.85546875" style="3287" customWidth="1"/>
    <col min="5" max="5" width="58.85546875" style="3287" customWidth="1"/>
    <col min="6" max="256" width="9.140625" style="3287"/>
    <col min="257" max="257" width="14.85546875" style="3287" customWidth="1"/>
    <col min="258" max="258" width="66.28515625" style="3287" customWidth="1"/>
    <col min="259" max="259" width="27.7109375" style="3287" customWidth="1"/>
    <col min="260" max="260" width="13.85546875" style="3287" customWidth="1"/>
    <col min="261" max="261" width="58.85546875" style="3287" customWidth="1"/>
    <col min="262" max="512" width="9.140625" style="3287"/>
    <col min="513" max="513" width="14.85546875" style="3287" customWidth="1"/>
    <col min="514" max="514" width="66.28515625" style="3287" customWidth="1"/>
    <col min="515" max="515" width="27.7109375" style="3287" customWidth="1"/>
    <col min="516" max="516" width="13.85546875" style="3287" customWidth="1"/>
    <col min="517" max="517" width="58.85546875" style="3287" customWidth="1"/>
    <col min="518" max="768" width="9.140625" style="3287"/>
    <col min="769" max="769" width="14.85546875" style="3287" customWidth="1"/>
    <col min="770" max="770" width="66.28515625" style="3287" customWidth="1"/>
    <col min="771" max="771" width="27.7109375" style="3287" customWidth="1"/>
    <col min="772" max="772" width="13.85546875" style="3287" customWidth="1"/>
    <col min="773" max="773" width="58.85546875" style="3287" customWidth="1"/>
    <col min="774" max="1024" width="9.140625" style="3287"/>
    <col min="1025" max="1025" width="14.85546875" style="3287" customWidth="1"/>
    <col min="1026" max="1026" width="66.28515625" style="3287" customWidth="1"/>
    <col min="1027" max="1027" width="27.7109375" style="3287" customWidth="1"/>
    <col min="1028" max="1028" width="13.85546875" style="3287" customWidth="1"/>
    <col min="1029" max="1029" width="58.85546875" style="3287" customWidth="1"/>
    <col min="1030" max="1280" width="9.140625" style="3287"/>
    <col min="1281" max="1281" width="14.85546875" style="3287" customWidth="1"/>
    <col min="1282" max="1282" width="66.28515625" style="3287" customWidth="1"/>
    <col min="1283" max="1283" width="27.7109375" style="3287" customWidth="1"/>
    <col min="1284" max="1284" width="13.85546875" style="3287" customWidth="1"/>
    <col min="1285" max="1285" width="58.85546875" style="3287" customWidth="1"/>
    <col min="1286" max="1536" width="9.140625" style="3287"/>
    <col min="1537" max="1537" width="14.85546875" style="3287" customWidth="1"/>
    <col min="1538" max="1538" width="66.28515625" style="3287" customWidth="1"/>
    <col min="1539" max="1539" width="27.7109375" style="3287" customWidth="1"/>
    <col min="1540" max="1540" width="13.85546875" style="3287" customWidth="1"/>
    <col min="1541" max="1541" width="58.85546875" style="3287" customWidth="1"/>
    <col min="1542" max="1792" width="9.140625" style="3287"/>
    <col min="1793" max="1793" width="14.85546875" style="3287" customWidth="1"/>
    <col min="1794" max="1794" width="66.28515625" style="3287" customWidth="1"/>
    <col min="1795" max="1795" width="27.7109375" style="3287" customWidth="1"/>
    <col min="1796" max="1796" width="13.85546875" style="3287" customWidth="1"/>
    <col min="1797" max="1797" width="58.85546875" style="3287" customWidth="1"/>
    <col min="1798" max="2048" width="9.140625" style="3287"/>
    <col min="2049" max="2049" width="14.85546875" style="3287" customWidth="1"/>
    <col min="2050" max="2050" width="66.28515625" style="3287" customWidth="1"/>
    <col min="2051" max="2051" width="27.7109375" style="3287" customWidth="1"/>
    <col min="2052" max="2052" width="13.85546875" style="3287" customWidth="1"/>
    <col min="2053" max="2053" width="58.85546875" style="3287" customWidth="1"/>
    <col min="2054" max="2304" width="9.140625" style="3287"/>
    <col min="2305" max="2305" width="14.85546875" style="3287" customWidth="1"/>
    <col min="2306" max="2306" width="66.28515625" style="3287" customWidth="1"/>
    <col min="2307" max="2307" width="27.7109375" style="3287" customWidth="1"/>
    <col min="2308" max="2308" width="13.85546875" style="3287" customWidth="1"/>
    <col min="2309" max="2309" width="58.85546875" style="3287" customWidth="1"/>
    <col min="2310" max="2560" width="9.140625" style="3287"/>
    <col min="2561" max="2561" width="14.85546875" style="3287" customWidth="1"/>
    <col min="2562" max="2562" width="66.28515625" style="3287" customWidth="1"/>
    <col min="2563" max="2563" width="27.7109375" style="3287" customWidth="1"/>
    <col min="2564" max="2564" width="13.85546875" style="3287" customWidth="1"/>
    <col min="2565" max="2565" width="58.85546875" style="3287" customWidth="1"/>
    <col min="2566" max="2816" width="9.140625" style="3287"/>
    <col min="2817" max="2817" width="14.85546875" style="3287" customWidth="1"/>
    <col min="2818" max="2818" width="66.28515625" style="3287" customWidth="1"/>
    <col min="2819" max="2819" width="27.7109375" style="3287" customWidth="1"/>
    <col min="2820" max="2820" width="13.85546875" style="3287" customWidth="1"/>
    <col min="2821" max="2821" width="58.85546875" style="3287" customWidth="1"/>
    <col min="2822" max="3072" width="9.140625" style="3287"/>
    <col min="3073" max="3073" width="14.85546875" style="3287" customWidth="1"/>
    <col min="3074" max="3074" width="66.28515625" style="3287" customWidth="1"/>
    <col min="3075" max="3075" width="27.7109375" style="3287" customWidth="1"/>
    <col min="3076" max="3076" width="13.85546875" style="3287" customWidth="1"/>
    <col min="3077" max="3077" width="58.85546875" style="3287" customWidth="1"/>
    <col min="3078" max="3328" width="9.140625" style="3287"/>
    <col min="3329" max="3329" width="14.85546875" style="3287" customWidth="1"/>
    <col min="3330" max="3330" width="66.28515625" style="3287" customWidth="1"/>
    <col min="3331" max="3331" width="27.7109375" style="3287" customWidth="1"/>
    <col min="3332" max="3332" width="13.85546875" style="3287" customWidth="1"/>
    <col min="3333" max="3333" width="58.85546875" style="3287" customWidth="1"/>
    <col min="3334" max="3584" width="9.140625" style="3287"/>
    <col min="3585" max="3585" width="14.85546875" style="3287" customWidth="1"/>
    <col min="3586" max="3586" width="66.28515625" style="3287" customWidth="1"/>
    <col min="3587" max="3587" width="27.7109375" style="3287" customWidth="1"/>
    <col min="3588" max="3588" width="13.85546875" style="3287" customWidth="1"/>
    <col min="3589" max="3589" width="58.85546875" style="3287" customWidth="1"/>
    <col min="3590" max="3840" width="9.140625" style="3287"/>
    <col min="3841" max="3841" width="14.85546875" style="3287" customWidth="1"/>
    <col min="3842" max="3842" width="66.28515625" style="3287" customWidth="1"/>
    <col min="3843" max="3843" width="27.7109375" style="3287" customWidth="1"/>
    <col min="3844" max="3844" width="13.85546875" style="3287" customWidth="1"/>
    <col min="3845" max="3845" width="58.85546875" style="3287" customWidth="1"/>
    <col min="3846" max="4096" width="9.140625" style="3287"/>
    <col min="4097" max="4097" width="14.85546875" style="3287" customWidth="1"/>
    <col min="4098" max="4098" width="66.28515625" style="3287" customWidth="1"/>
    <col min="4099" max="4099" width="27.7109375" style="3287" customWidth="1"/>
    <col min="4100" max="4100" width="13.85546875" style="3287" customWidth="1"/>
    <col min="4101" max="4101" width="58.85546875" style="3287" customWidth="1"/>
    <col min="4102" max="4352" width="9.140625" style="3287"/>
    <col min="4353" max="4353" width="14.85546875" style="3287" customWidth="1"/>
    <col min="4354" max="4354" width="66.28515625" style="3287" customWidth="1"/>
    <col min="4355" max="4355" width="27.7109375" style="3287" customWidth="1"/>
    <col min="4356" max="4356" width="13.85546875" style="3287" customWidth="1"/>
    <col min="4357" max="4357" width="58.85546875" style="3287" customWidth="1"/>
    <col min="4358" max="4608" width="9.140625" style="3287"/>
    <col min="4609" max="4609" width="14.85546875" style="3287" customWidth="1"/>
    <col min="4610" max="4610" width="66.28515625" style="3287" customWidth="1"/>
    <col min="4611" max="4611" width="27.7109375" style="3287" customWidth="1"/>
    <col min="4612" max="4612" width="13.85546875" style="3287" customWidth="1"/>
    <col min="4613" max="4613" width="58.85546875" style="3287" customWidth="1"/>
    <col min="4614" max="4864" width="9.140625" style="3287"/>
    <col min="4865" max="4865" width="14.85546875" style="3287" customWidth="1"/>
    <col min="4866" max="4866" width="66.28515625" style="3287" customWidth="1"/>
    <col min="4867" max="4867" width="27.7109375" style="3287" customWidth="1"/>
    <col min="4868" max="4868" width="13.85546875" style="3287" customWidth="1"/>
    <col min="4869" max="4869" width="58.85546875" style="3287" customWidth="1"/>
    <col min="4870" max="5120" width="9.140625" style="3287"/>
    <col min="5121" max="5121" width="14.85546875" style="3287" customWidth="1"/>
    <col min="5122" max="5122" width="66.28515625" style="3287" customWidth="1"/>
    <col min="5123" max="5123" width="27.7109375" style="3287" customWidth="1"/>
    <col min="5124" max="5124" width="13.85546875" style="3287" customWidth="1"/>
    <col min="5125" max="5125" width="58.85546875" style="3287" customWidth="1"/>
    <col min="5126" max="5376" width="9.140625" style="3287"/>
    <col min="5377" max="5377" width="14.85546875" style="3287" customWidth="1"/>
    <col min="5378" max="5378" width="66.28515625" style="3287" customWidth="1"/>
    <col min="5379" max="5379" width="27.7109375" style="3287" customWidth="1"/>
    <col min="5380" max="5380" width="13.85546875" style="3287" customWidth="1"/>
    <col min="5381" max="5381" width="58.85546875" style="3287" customWidth="1"/>
    <col min="5382" max="5632" width="9.140625" style="3287"/>
    <col min="5633" max="5633" width="14.85546875" style="3287" customWidth="1"/>
    <col min="5634" max="5634" width="66.28515625" style="3287" customWidth="1"/>
    <col min="5635" max="5635" width="27.7109375" style="3287" customWidth="1"/>
    <col min="5636" max="5636" width="13.85546875" style="3287" customWidth="1"/>
    <col min="5637" max="5637" width="58.85546875" style="3287" customWidth="1"/>
    <col min="5638" max="5888" width="9.140625" style="3287"/>
    <col min="5889" max="5889" width="14.85546875" style="3287" customWidth="1"/>
    <col min="5890" max="5890" width="66.28515625" style="3287" customWidth="1"/>
    <col min="5891" max="5891" width="27.7109375" style="3287" customWidth="1"/>
    <col min="5892" max="5892" width="13.85546875" style="3287" customWidth="1"/>
    <col min="5893" max="5893" width="58.85546875" style="3287" customWidth="1"/>
    <col min="5894" max="6144" width="9.140625" style="3287"/>
    <col min="6145" max="6145" width="14.85546875" style="3287" customWidth="1"/>
    <col min="6146" max="6146" width="66.28515625" style="3287" customWidth="1"/>
    <col min="6147" max="6147" width="27.7109375" style="3287" customWidth="1"/>
    <col min="6148" max="6148" width="13.85546875" style="3287" customWidth="1"/>
    <col min="6149" max="6149" width="58.85546875" style="3287" customWidth="1"/>
    <col min="6150" max="6400" width="9.140625" style="3287"/>
    <col min="6401" max="6401" width="14.85546875" style="3287" customWidth="1"/>
    <col min="6402" max="6402" width="66.28515625" style="3287" customWidth="1"/>
    <col min="6403" max="6403" width="27.7109375" style="3287" customWidth="1"/>
    <col min="6404" max="6404" width="13.85546875" style="3287" customWidth="1"/>
    <col min="6405" max="6405" width="58.85546875" style="3287" customWidth="1"/>
    <col min="6406" max="6656" width="9.140625" style="3287"/>
    <col min="6657" max="6657" width="14.85546875" style="3287" customWidth="1"/>
    <col min="6658" max="6658" width="66.28515625" style="3287" customWidth="1"/>
    <col min="6659" max="6659" width="27.7109375" style="3287" customWidth="1"/>
    <col min="6660" max="6660" width="13.85546875" style="3287" customWidth="1"/>
    <col min="6661" max="6661" width="58.85546875" style="3287" customWidth="1"/>
    <col min="6662" max="6912" width="9.140625" style="3287"/>
    <col min="6913" max="6913" width="14.85546875" style="3287" customWidth="1"/>
    <col min="6914" max="6914" width="66.28515625" style="3287" customWidth="1"/>
    <col min="6915" max="6915" width="27.7109375" style="3287" customWidth="1"/>
    <col min="6916" max="6916" width="13.85546875" style="3287" customWidth="1"/>
    <col min="6917" max="6917" width="58.85546875" style="3287" customWidth="1"/>
    <col min="6918" max="7168" width="9.140625" style="3287"/>
    <col min="7169" max="7169" width="14.85546875" style="3287" customWidth="1"/>
    <col min="7170" max="7170" width="66.28515625" style="3287" customWidth="1"/>
    <col min="7171" max="7171" width="27.7109375" style="3287" customWidth="1"/>
    <col min="7172" max="7172" width="13.85546875" style="3287" customWidth="1"/>
    <col min="7173" max="7173" width="58.85546875" style="3287" customWidth="1"/>
    <col min="7174" max="7424" width="9.140625" style="3287"/>
    <col min="7425" max="7425" width="14.85546875" style="3287" customWidth="1"/>
    <col min="7426" max="7426" width="66.28515625" style="3287" customWidth="1"/>
    <col min="7427" max="7427" width="27.7109375" style="3287" customWidth="1"/>
    <col min="7428" max="7428" width="13.85546875" style="3287" customWidth="1"/>
    <col min="7429" max="7429" width="58.85546875" style="3287" customWidth="1"/>
    <col min="7430" max="7680" width="9.140625" style="3287"/>
    <col min="7681" max="7681" width="14.85546875" style="3287" customWidth="1"/>
    <col min="7682" max="7682" width="66.28515625" style="3287" customWidth="1"/>
    <col min="7683" max="7683" width="27.7109375" style="3287" customWidth="1"/>
    <col min="7684" max="7684" width="13.85546875" style="3287" customWidth="1"/>
    <col min="7685" max="7685" width="58.85546875" style="3287" customWidth="1"/>
    <col min="7686" max="7936" width="9.140625" style="3287"/>
    <col min="7937" max="7937" width="14.85546875" style="3287" customWidth="1"/>
    <col min="7938" max="7938" width="66.28515625" style="3287" customWidth="1"/>
    <col min="7939" max="7939" width="27.7109375" style="3287" customWidth="1"/>
    <col min="7940" max="7940" width="13.85546875" style="3287" customWidth="1"/>
    <col min="7941" max="7941" width="58.85546875" style="3287" customWidth="1"/>
    <col min="7942" max="8192" width="9.140625" style="3287"/>
    <col min="8193" max="8193" width="14.85546875" style="3287" customWidth="1"/>
    <col min="8194" max="8194" width="66.28515625" style="3287" customWidth="1"/>
    <col min="8195" max="8195" width="27.7109375" style="3287" customWidth="1"/>
    <col min="8196" max="8196" width="13.85546875" style="3287" customWidth="1"/>
    <col min="8197" max="8197" width="58.85546875" style="3287" customWidth="1"/>
    <col min="8198" max="8448" width="9.140625" style="3287"/>
    <col min="8449" max="8449" width="14.85546875" style="3287" customWidth="1"/>
    <col min="8450" max="8450" width="66.28515625" style="3287" customWidth="1"/>
    <col min="8451" max="8451" width="27.7109375" style="3287" customWidth="1"/>
    <col min="8452" max="8452" width="13.85546875" style="3287" customWidth="1"/>
    <col min="8453" max="8453" width="58.85546875" style="3287" customWidth="1"/>
    <col min="8454" max="8704" width="9.140625" style="3287"/>
    <col min="8705" max="8705" width="14.85546875" style="3287" customWidth="1"/>
    <col min="8706" max="8706" width="66.28515625" style="3287" customWidth="1"/>
    <col min="8707" max="8707" width="27.7109375" style="3287" customWidth="1"/>
    <col min="8708" max="8708" width="13.85546875" style="3287" customWidth="1"/>
    <col min="8709" max="8709" width="58.85546875" style="3287" customWidth="1"/>
    <col min="8710" max="8960" width="9.140625" style="3287"/>
    <col min="8961" max="8961" width="14.85546875" style="3287" customWidth="1"/>
    <col min="8962" max="8962" width="66.28515625" style="3287" customWidth="1"/>
    <col min="8963" max="8963" width="27.7109375" style="3287" customWidth="1"/>
    <col min="8964" max="8964" width="13.85546875" style="3287" customWidth="1"/>
    <col min="8965" max="8965" width="58.85546875" style="3287" customWidth="1"/>
    <col min="8966" max="9216" width="9.140625" style="3287"/>
    <col min="9217" max="9217" width="14.85546875" style="3287" customWidth="1"/>
    <col min="9218" max="9218" width="66.28515625" style="3287" customWidth="1"/>
    <col min="9219" max="9219" width="27.7109375" style="3287" customWidth="1"/>
    <col min="9220" max="9220" width="13.85546875" style="3287" customWidth="1"/>
    <col min="9221" max="9221" width="58.85546875" style="3287" customWidth="1"/>
    <col min="9222" max="9472" width="9.140625" style="3287"/>
    <col min="9473" max="9473" width="14.85546875" style="3287" customWidth="1"/>
    <col min="9474" max="9474" width="66.28515625" style="3287" customWidth="1"/>
    <col min="9475" max="9475" width="27.7109375" style="3287" customWidth="1"/>
    <col min="9476" max="9476" width="13.85546875" style="3287" customWidth="1"/>
    <col min="9477" max="9477" width="58.85546875" style="3287" customWidth="1"/>
    <col min="9478" max="9728" width="9.140625" style="3287"/>
    <col min="9729" max="9729" width="14.85546875" style="3287" customWidth="1"/>
    <col min="9730" max="9730" width="66.28515625" style="3287" customWidth="1"/>
    <col min="9731" max="9731" width="27.7109375" style="3287" customWidth="1"/>
    <col min="9732" max="9732" width="13.85546875" style="3287" customWidth="1"/>
    <col min="9733" max="9733" width="58.85546875" style="3287" customWidth="1"/>
    <col min="9734" max="9984" width="9.140625" style="3287"/>
    <col min="9985" max="9985" width="14.85546875" style="3287" customWidth="1"/>
    <col min="9986" max="9986" width="66.28515625" style="3287" customWidth="1"/>
    <col min="9987" max="9987" width="27.7109375" style="3287" customWidth="1"/>
    <col min="9988" max="9988" width="13.85546875" style="3287" customWidth="1"/>
    <col min="9989" max="9989" width="58.85546875" style="3287" customWidth="1"/>
    <col min="9990" max="10240" width="9.140625" style="3287"/>
    <col min="10241" max="10241" width="14.85546875" style="3287" customWidth="1"/>
    <col min="10242" max="10242" width="66.28515625" style="3287" customWidth="1"/>
    <col min="10243" max="10243" width="27.7109375" style="3287" customWidth="1"/>
    <col min="10244" max="10244" width="13.85546875" style="3287" customWidth="1"/>
    <col min="10245" max="10245" width="58.85546875" style="3287" customWidth="1"/>
    <col min="10246" max="10496" width="9.140625" style="3287"/>
    <col min="10497" max="10497" width="14.85546875" style="3287" customWidth="1"/>
    <col min="10498" max="10498" width="66.28515625" style="3287" customWidth="1"/>
    <col min="10499" max="10499" width="27.7109375" style="3287" customWidth="1"/>
    <col min="10500" max="10500" width="13.85546875" style="3287" customWidth="1"/>
    <col min="10501" max="10501" width="58.85546875" style="3287" customWidth="1"/>
    <col min="10502" max="10752" width="9.140625" style="3287"/>
    <col min="10753" max="10753" width="14.85546875" style="3287" customWidth="1"/>
    <col min="10754" max="10754" width="66.28515625" style="3287" customWidth="1"/>
    <col min="10755" max="10755" width="27.7109375" style="3287" customWidth="1"/>
    <col min="10756" max="10756" width="13.85546875" style="3287" customWidth="1"/>
    <col min="10757" max="10757" width="58.85546875" style="3287" customWidth="1"/>
    <col min="10758" max="11008" width="9.140625" style="3287"/>
    <col min="11009" max="11009" width="14.85546875" style="3287" customWidth="1"/>
    <col min="11010" max="11010" width="66.28515625" style="3287" customWidth="1"/>
    <col min="11011" max="11011" width="27.7109375" style="3287" customWidth="1"/>
    <col min="11012" max="11012" width="13.85546875" style="3287" customWidth="1"/>
    <col min="11013" max="11013" width="58.85546875" style="3287" customWidth="1"/>
    <col min="11014" max="11264" width="9.140625" style="3287"/>
    <col min="11265" max="11265" width="14.85546875" style="3287" customWidth="1"/>
    <col min="11266" max="11266" width="66.28515625" style="3287" customWidth="1"/>
    <col min="11267" max="11267" width="27.7109375" style="3287" customWidth="1"/>
    <col min="11268" max="11268" width="13.85546875" style="3287" customWidth="1"/>
    <col min="11269" max="11269" width="58.85546875" style="3287" customWidth="1"/>
    <col min="11270" max="11520" width="9.140625" style="3287"/>
    <col min="11521" max="11521" width="14.85546875" style="3287" customWidth="1"/>
    <col min="11522" max="11522" width="66.28515625" style="3287" customWidth="1"/>
    <col min="11523" max="11523" width="27.7109375" style="3287" customWidth="1"/>
    <col min="11524" max="11524" width="13.85546875" style="3287" customWidth="1"/>
    <col min="11525" max="11525" width="58.85546875" style="3287" customWidth="1"/>
    <col min="11526" max="11776" width="9.140625" style="3287"/>
    <col min="11777" max="11777" width="14.85546875" style="3287" customWidth="1"/>
    <col min="11778" max="11778" width="66.28515625" style="3287" customWidth="1"/>
    <col min="11779" max="11779" width="27.7109375" style="3287" customWidth="1"/>
    <col min="11780" max="11780" width="13.85546875" style="3287" customWidth="1"/>
    <col min="11781" max="11781" width="58.85546875" style="3287" customWidth="1"/>
    <col min="11782" max="12032" width="9.140625" style="3287"/>
    <col min="12033" max="12033" width="14.85546875" style="3287" customWidth="1"/>
    <col min="12034" max="12034" width="66.28515625" style="3287" customWidth="1"/>
    <col min="12035" max="12035" width="27.7109375" style="3287" customWidth="1"/>
    <col min="12036" max="12036" width="13.85546875" style="3287" customWidth="1"/>
    <col min="12037" max="12037" width="58.85546875" style="3287" customWidth="1"/>
    <col min="12038" max="12288" width="9.140625" style="3287"/>
    <col min="12289" max="12289" width="14.85546875" style="3287" customWidth="1"/>
    <col min="12290" max="12290" width="66.28515625" style="3287" customWidth="1"/>
    <col min="12291" max="12291" width="27.7109375" style="3287" customWidth="1"/>
    <col min="12292" max="12292" width="13.85546875" style="3287" customWidth="1"/>
    <col min="12293" max="12293" width="58.85546875" style="3287" customWidth="1"/>
    <col min="12294" max="12544" width="9.140625" style="3287"/>
    <col min="12545" max="12545" width="14.85546875" style="3287" customWidth="1"/>
    <col min="12546" max="12546" width="66.28515625" style="3287" customWidth="1"/>
    <col min="12547" max="12547" width="27.7109375" style="3287" customWidth="1"/>
    <col min="12548" max="12548" width="13.85546875" style="3287" customWidth="1"/>
    <col min="12549" max="12549" width="58.85546875" style="3287" customWidth="1"/>
    <col min="12550" max="12800" width="9.140625" style="3287"/>
    <col min="12801" max="12801" width="14.85546875" style="3287" customWidth="1"/>
    <col min="12802" max="12802" width="66.28515625" style="3287" customWidth="1"/>
    <col min="12803" max="12803" width="27.7109375" style="3287" customWidth="1"/>
    <col min="12804" max="12804" width="13.85546875" style="3287" customWidth="1"/>
    <col min="12805" max="12805" width="58.85546875" style="3287" customWidth="1"/>
    <col min="12806" max="13056" width="9.140625" style="3287"/>
    <col min="13057" max="13057" width="14.85546875" style="3287" customWidth="1"/>
    <col min="13058" max="13058" width="66.28515625" style="3287" customWidth="1"/>
    <col min="13059" max="13059" width="27.7109375" style="3287" customWidth="1"/>
    <col min="13060" max="13060" width="13.85546875" style="3287" customWidth="1"/>
    <col min="13061" max="13061" width="58.85546875" style="3287" customWidth="1"/>
    <col min="13062" max="13312" width="9.140625" style="3287"/>
    <col min="13313" max="13313" width="14.85546875" style="3287" customWidth="1"/>
    <col min="13314" max="13314" width="66.28515625" style="3287" customWidth="1"/>
    <col min="13315" max="13315" width="27.7109375" style="3287" customWidth="1"/>
    <col min="13316" max="13316" width="13.85546875" style="3287" customWidth="1"/>
    <col min="13317" max="13317" width="58.85546875" style="3287" customWidth="1"/>
    <col min="13318" max="13568" width="9.140625" style="3287"/>
    <col min="13569" max="13569" width="14.85546875" style="3287" customWidth="1"/>
    <col min="13570" max="13570" width="66.28515625" style="3287" customWidth="1"/>
    <col min="13571" max="13571" width="27.7109375" style="3287" customWidth="1"/>
    <col min="13572" max="13572" width="13.85546875" style="3287" customWidth="1"/>
    <col min="13573" max="13573" width="58.85546875" style="3287" customWidth="1"/>
    <col min="13574" max="13824" width="9.140625" style="3287"/>
    <col min="13825" max="13825" width="14.85546875" style="3287" customWidth="1"/>
    <col min="13826" max="13826" width="66.28515625" style="3287" customWidth="1"/>
    <col min="13827" max="13827" width="27.7109375" style="3287" customWidth="1"/>
    <col min="13828" max="13828" width="13.85546875" style="3287" customWidth="1"/>
    <col min="13829" max="13829" width="58.85546875" style="3287" customWidth="1"/>
    <col min="13830" max="14080" width="9.140625" style="3287"/>
    <col min="14081" max="14081" width="14.85546875" style="3287" customWidth="1"/>
    <col min="14082" max="14082" width="66.28515625" style="3287" customWidth="1"/>
    <col min="14083" max="14083" width="27.7109375" style="3287" customWidth="1"/>
    <col min="14084" max="14084" width="13.85546875" style="3287" customWidth="1"/>
    <col min="14085" max="14085" width="58.85546875" style="3287" customWidth="1"/>
    <col min="14086" max="14336" width="9.140625" style="3287"/>
    <col min="14337" max="14337" width="14.85546875" style="3287" customWidth="1"/>
    <col min="14338" max="14338" width="66.28515625" style="3287" customWidth="1"/>
    <col min="14339" max="14339" width="27.7109375" style="3287" customWidth="1"/>
    <col min="14340" max="14340" width="13.85546875" style="3287" customWidth="1"/>
    <col min="14341" max="14341" width="58.85546875" style="3287" customWidth="1"/>
    <col min="14342" max="14592" width="9.140625" style="3287"/>
    <col min="14593" max="14593" width="14.85546875" style="3287" customWidth="1"/>
    <col min="14594" max="14594" width="66.28515625" style="3287" customWidth="1"/>
    <col min="14595" max="14595" width="27.7109375" style="3287" customWidth="1"/>
    <col min="14596" max="14596" width="13.85546875" style="3287" customWidth="1"/>
    <col min="14597" max="14597" width="58.85546875" style="3287" customWidth="1"/>
    <col min="14598" max="14848" width="9.140625" style="3287"/>
    <col min="14849" max="14849" width="14.85546875" style="3287" customWidth="1"/>
    <col min="14850" max="14850" width="66.28515625" style="3287" customWidth="1"/>
    <col min="14851" max="14851" width="27.7109375" style="3287" customWidth="1"/>
    <col min="14852" max="14852" width="13.85546875" style="3287" customWidth="1"/>
    <col min="14853" max="14853" width="58.85546875" style="3287" customWidth="1"/>
    <col min="14854" max="15104" width="9.140625" style="3287"/>
    <col min="15105" max="15105" width="14.85546875" style="3287" customWidth="1"/>
    <col min="15106" max="15106" width="66.28515625" style="3287" customWidth="1"/>
    <col min="15107" max="15107" width="27.7109375" style="3287" customWidth="1"/>
    <col min="15108" max="15108" width="13.85546875" style="3287" customWidth="1"/>
    <col min="15109" max="15109" width="58.85546875" style="3287" customWidth="1"/>
    <col min="15110" max="15360" width="9.140625" style="3287"/>
    <col min="15361" max="15361" width="14.85546875" style="3287" customWidth="1"/>
    <col min="15362" max="15362" width="66.28515625" style="3287" customWidth="1"/>
    <col min="15363" max="15363" width="27.7109375" style="3287" customWidth="1"/>
    <col min="15364" max="15364" width="13.85546875" style="3287" customWidth="1"/>
    <col min="15365" max="15365" width="58.85546875" style="3287" customWidth="1"/>
    <col min="15366" max="15616" width="9.140625" style="3287"/>
    <col min="15617" max="15617" width="14.85546875" style="3287" customWidth="1"/>
    <col min="15618" max="15618" width="66.28515625" style="3287" customWidth="1"/>
    <col min="15619" max="15619" width="27.7109375" style="3287" customWidth="1"/>
    <col min="15620" max="15620" width="13.85546875" style="3287" customWidth="1"/>
    <col min="15621" max="15621" width="58.85546875" style="3287" customWidth="1"/>
    <col min="15622" max="15872" width="9.140625" style="3287"/>
    <col min="15873" max="15873" width="14.85546875" style="3287" customWidth="1"/>
    <col min="15874" max="15874" width="66.28515625" style="3287" customWidth="1"/>
    <col min="15875" max="15875" width="27.7109375" style="3287" customWidth="1"/>
    <col min="15876" max="15876" width="13.85546875" style="3287" customWidth="1"/>
    <col min="15877" max="15877" width="58.85546875" style="3287" customWidth="1"/>
    <col min="15878" max="16128" width="9.140625" style="3287"/>
    <col min="16129" max="16129" width="14.85546875" style="3287" customWidth="1"/>
    <col min="16130" max="16130" width="66.28515625" style="3287" customWidth="1"/>
    <col min="16131" max="16131" width="27.7109375" style="3287" customWidth="1"/>
    <col min="16132" max="16132" width="13.85546875" style="3287" customWidth="1"/>
    <col min="16133" max="16133" width="58.85546875" style="3287" customWidth="1"/>
    <col min="16134" max="16384" width="9.140625" style="3287"/>
  </cols>
  <sheetData>
    <row r="1" spans="1:5">
      <c r="A1" s="3285" t="str">
        <f>+'F TRANSFERURI'!A1</f>
        <v>CASA  DE  ASIGURĂRI  DE  SĂNĂTATE MEHEDINTI</v>
      </c>
      <c r="B1" s="3285"/>
      <c r="C1" s="4664"/>
      <c r="D1" s="4664"/>
      <c r="E1" s="3286"/>
    </row>
    <row r="2" spans="1:5">
      <c r="B2" s="3288"/>
      <c r="C2" s="4664"/>
      <c r="D2" s="4664"/>
      <c r="E2" s="3286"/>
    </row>
    <row r="3" spans="1:5">
      <c r="B3" s="3288"/>
      <c r="C3" s="3289"/>
      <c r="D3" s="3289"/>
      <c r="E3" s="3286"/>
    </row>
    <row r="4" spans="1:5">
      <c r="B4" s="3290"/>
    </row>
    <row r="5" spans="1:5" ht="25.5">
      <c r="A5" s="3291" t="s">
        <v>2592</v>
      </c>
      <c r="B5" s="3292" t="s">
        <v>2599</v>
      </c>
      <c r="C5" s="3292"/>
    </row>
    <row r="6" spans="1:5">
      <c r="A6" s="3291"/>
      <c r="B6" s="3292"/>
      <c r="C6" s="3292"/>
    </row>
    <row r="7" spans="1:5">
      <c r="A7" s="3291"/>
      <c r="B7" s="3292"/>
      <c r="C7" s="3292"/>
    </row>
    <row r="8" spans="1:5" ht="18" customHeight="1">
      <c r="B8" s="3293"/>
    </row>
    <row r="9" spans="1:5">
      <c r="C9" s="3297" t="s">
        <v>1640</v>
      </c>
    </row>
    <row r="10" spans="1:5">
      <c r="A10" s="3298"/>
      <c r="B10" s="3299" t="s">
        <v>1364</v>
      </c>
      <c r="C10" s="3300" t="s">
        <v>2607</v>
      </c>
    </row>
    <row r="11" spans="1:5">
      <c r="A11" s="3301"/>
      <c r="B11" s="3301" t="s">
        <v>1365</v>
      </c>
      <c r="C11" s="3302"/>
      <c r="D11" s="520"/>
    </row>
    <row r="12" spans="1:5">
      <c r="A12" s="3303"/>
      <c r="B12" s="3303" t="s">
        <v>793</v>
      </c>
      <c r="C12" s="3304">
        <f>+'F104 sint fin prog'!C49</f>
        <v>6153270</v>
      </c>
      <c r="D12" s="3305"/>
    </row>
    <row r="13" spans="1:5">
      <c r="A13" s="3303"/>
      <c r="B13" s="3303" t="s">
        <v>794</v>
      </c>
      <c r="C13" s="3304">
        <f>+'F104 sint fin prog'!C50</f>
        <v>6153270</v>
      </c>
      <c r="D13" s="3305"/>
    </row>
    <row r="14" spans="1:5">
      <c r="A14" s="3303"/>
      <c r="B14" s="3306" t="s">
        <v>795</v>
      </c>
      <c r="C14" s="3307"/>
      <c r="D14" s="3305"/>
    </row>
    <row r="15" spans="1:5">
      <c r="A15" s="3308">
        <v>5005</v>
      </c>
      <c r="B15" s="3309" t="s">
        <v>1366</v>
      </c>
      <c r="C15" s="3310"/>
      <c r="D15" s="3305"/>
    </row>
    <row r="16" spans="1:5">
      <c r="A16" s="3308"/>
      <c r="B16" s="3303" t="s">
        <v>793</v>
      </c>
      <c r="C16" s="3310">
        <f>C19+C22+C25+C28+C31+C34+C37</f>
        <v>6153270</v>
      </c>
      <c r="D16" s="3305"/>
    </row>
    <row r="17" spans="1:5">
      <c r="A17" s="3308"/>
      <c r="B17" s="3303" t="s">
        <v>794</v>
      </c>
      <c r="C17" s="3310">
        <f>C20+C23+C26+C29+C32+C35+C38</f>
        <v>6153270</v>
      </c>
      <c r="D17" s="3305"/>
    </row>
    <row r="18" spans="1:5">
      <c r="A18" s="3308">
        <v>660510</v>
      </c>
      <c r="B18" s="3309" t="s">
        <v>1511</v>
      </c>
      <c r="C18" s="3310"/>
      <c r="D18" s="3305"/>
    </row>
    <row r="19" spans="1:5">
      <c r="A19" s="3308"/>
      <c r="B19" s="3303" t="s">
        <v>793</v>
      </c>
      <c r="C19" s="3310">
        <f>+'CONT EXECUTIE  '!C10</f>
        <v>4930600</v>
      </c>
      <c r="D19" s="3305"/>
    </row>
    <row r="20" spans="1:5">
      <c r="A20" s="3308"/>
      <c r="B20" s="3303" t="s">
        <v>794</v>
      </c>
      <c r="C20" s="3310">
        <f>+'CONT EXECUTIE  '!E10</f>
        <v>4930600</v>
      </c>
      <c r="D20" s="3305"/>
    </row>
    <row r="21" spans="1:5">
      <c r="A21" s="3308">
        <v>660520</v>
      </c>
      <c r="B21" s="3311" t="s">
        <v>1032</v>
      </c>
      <c r="C21" s="3310"/>
      <c r="D21" s="3305"/>
    </row>
    <row r="22" spans="1:5">
      <c r="A22" s="3308"/>
      <c r="B22" s="3303" t="s">
        <v>793</v>
      </c>
      <c r="C22" s="3310">
        <f>+'CONT EXECUTIE  '!C11-'CONT EXECUTIE  '!C136</f>
        <v>620670</v>
      </c>
      <c r="D22" s="3305"/>
    </row>
    <row r="23" spans="1:5">
      <c r="A23" s="3308"/>
      <c r="B23" s="3303" t="s">
        <v>794</v>
      </c>
      <c r="C23" s="3310">
        <f>+'CONT EXECUTIE  '!E11-'CONT EXECUTIE  '!E136</f>
        <v>620670</v>
      </c>
      <c r="D23" s="3305"/>
    </row>
    <row r="24" spans="1:5">
      <c r="A24" s="3308">
        <v>660530</v>
      </c>
      <c r="B24" s="3309" t="s">
        <v>2223</v>
      </c>
      <c r="C24" s="3310"/>
      <c r="D24" s="3305"/>
    </row>
    <row r="25" spans="1:5">
      <c r="A25" s="3308"/>
      <c r="B25" s="3303" t="s">
        <v>793</v>
      </c>
      <c r="C25" s="3310">
        <f>+'CONT EXECUTIE  '!C12</f>
        <v>0</v>
      </c>
      <c r="D25" s="3305"/>
    </row>
    <row r="26" spans="1:5">
      <c r="A26" s="3308"/>
      <c r="B26" s="3303" t="s">
        <v>794</v>
      </c>
      <c r="C26" s="3310">
        <f>+'CONT EXECUTIE  '!E12</f>
        <v>0</v>
      </c>
      <c r="D26" s="3305"/>
    </row>
    <row r="27" spans="1:5" ht="25.5">
      <c r="A27" s="3308">
        <v>660558</v>
      </c>
      <c r="B27" s="3309" t="s">
        <v>1996</v>
      </c>
      <c r="C27" s="3310"/>
      <c r="D27" s="3305"/>
    </row>
    <row r="28" spans="1:5">
      <c r="A28" s="3308"/>
      <c r="B28" s="3312" t="s">
        <v>793</v>
      </c>
      <c r="C28" s="3313">
        <f>+'CONT EXECUTIE  '!C16</f>
        <v>0</v>
      </c>
      <c r="D28" s="3314"/>
      <c r="E28" s="3315"/>
    </row>
    <row r="29" spans="1:5">
      <c r="A29" s="3308"/>
      <c r="B29" s="3303" t="s">
        <v>794</v>
      </c>
      <c r="C29" s="3310">
        <f>+'CONT EXECUTIE  '!E16</f>
        <v>0</v>
      </c>
      <c r="D29" s="3305"/>
    </row>
    <row r="30" spans="1:5">
      <c r="A30" s="3308">
        <v>660559</v>
      </c>
      <c r="B30" s="3309" t="s">
        <v>980</v>
      </c>
      <c r="C30" s="3310"/>
      <c r="D30" s="3305"/>
    </row>
    <row r="31" spans="1:5">
      <c r="A31" s="3308"/>
      <c r="B31" s="3303" t="s">
        <v>793</v>
      </c>
      <c r="C31" s="3310">
        <f>+'CONT EXECUTIE  '!C17</f>
        <v>0</v>
      </c>
      <c r="D31" s="3305"/>
    </row>
    <row r="32" spans="1:5">
      <c r="A32" s="3308"/>
      <c r="B32" s="3303" t="s">
        <v>794</v>
      </c>
      <c r="C32" s="3310">
        <f>+'CONT EXECUTIE  '!E17</f>
        <v>0</v>
      </c>
      <c r="D32" s="3305"/>
    </row>
    <row r="33" spans="1:5">
      <c r="A33" s="3308">
        <v>660571</v>
      </c>
      <c r="B33" s="3309" t="s">
        <v>2426</v>
      </c>
      <c r="C33" s="3310"/>
      <c r="D33" s="3305"/>
    </row>
    <row r="34" spans="1:5">
      <c r="A34" s="3308"/>
      <c r="B34" s="3303" t="s">
        <v>793</v>
      </c>
      <c r="C34" s="3310">
        <f>+'CONT EXECUTIE  '!C18</f>
        <v>602000</v>
      </c>
      <c r="D34" s="3305"/>
    </row>
    <row r="35" spans="1:5">
      <c r="A35" s="3308"/>
      <c r="B35" s="3303" t="s">
        <v>794</v>
      </c>
      <c r="C35" s="3310">
        <f>+'CONT EXECUTIE  '!E18</f>
        <v>602000</v>
      </c>
      <c r="D35" s="3305"/>
    </row>
    <row r="36" spans="1:5" ht="25.5">
      <c r="A36" s="3308">
        <v>660856</v>
      </c>
      <c r="B36" s="3309" t="s">
        <v>2608</v>
      </c>
      <c r="C36" s="3310"/>
      <c r="D36" s="3305"/>
    </row>
    <row r="37" spans="1:5">
      <c r="A37" s="3308"/>
      <c r="B37" s="3303" t="s">
        <v>793</v>
      </c>
      <c r="C37" s="3310">
        <f>+'CONT EXECUTIE   (2)'!C8</f>
        <v>0</v>
      </c>
      <c r="D37" s="3305"/>
      <c r="E37" s="3305"/>
    </row>
    <row r="38" spans="1:5">
      <c r="A38" s="3308"/>
      <c r="B38" s="3303" t="s">
        <v>794</v>
      </c>
      <c r="C38" s="3310">
        <f>+'CONT EXECUTIE   (2)'!E8</f>
        <v>0</v>
      </c>
      <c r="D38" s="3305"/>
      <c r="E38" s="3305"/>
    </row>
    <row r="39" spans="1:5">
      <c r="B39" s="3316"/>
      <c r="C39" s="3317"/>
      <c r="D39" s="3318"/>
    </row>
    <row r="41" spans="1:5">
      <c r="B41" s="3319" t="str">
        <f>+'F TRANSFERURI'!C28</f>
        <v>DIRECTOR  GENERAL,</v>
      </c>
      <c r="C41" s="3352" t="str">
        <f>+'F TRANSFERURI'!D28</f>
        <v>DIRECTOR  EXECUTIV  ECONOMIC,</v>
      </c>
    </row>
    <row r="42" spans="1:5" ht="12.75" customHeight="1">
      <c r="B42" s="3319"/>
      <c r="C42" s="3352"/>
    </row>
    <row r="43" spans="1:5">
      <c r="A43" s="3351"/>
      <c r="B43" s="3319" t="str">
        <f>+'F TRANSFERURI'!C30</f>
        <v>EC.ALBU DRINA</v>
      </c>
      <c r="C43" s="3352" t="str">
        <f>+'F TRANSFERURI'!D30</f>
        <v>EC.BIRCU FLORINA</v>
      </c>
      <c r="D43" s="3294"/>
      <c r="E43" s="3295"/>
    </row>
    <row r="44" spans="1:5">
      <c r="A44" s="3351"/>
      <c r="B44" s="3319">
        <f>+'F TRANSFERURI'!C31</f>
        <v>0</v>
      </c>
      <c r="C44" s="3352"/>
    </row>
    <row r="45" spans="1:5">
      <c r="A45" s="3351"/>
      <c r="B45" s="3319"/>
      <c r="C45" s="3351"/>
    </row>
    <row r="46" spans="1:5">
      <c r="A46" s="3351"/>
      <c r="B46" s="3351"/>
      <c r="C46" s="3351"/>
    </row>
    <row r="47" spans="1:5" ht="14.25" customHeight="1">
      <c r="A47" s="3351"/>
      <c r="B47" s="3351"/>
      <c r="C47" s="3351"/>
    </row>
    <row r="48" spans="1:5" s="3321" customFormat="1" ht="14.25" customHeight="1">
      <c r="A48" s="3351"/>
      <c r="B48" s="3351"/>
      <c r="C48" s="3351"/>
    </row>
    <row r="49" spans="2:3" s="3321" customFormat="1" hidden="1">
      <c r="B49" s="3322"/>
      <c r="C49" s="3322"/>
    </row>
    <row r="50" spans="2:3" s="3321" customFormat="1" ht="14.25">
      <c r="B50" s="3277"/>
      <c r="C50" s="3322"/>
    </row>
    <row r="51" spans="2:3" s="3321" customFormat="1" ht="15">
      <c r="B51" s="3323"/>
      <c r="C51" s="3282"/>
    </row>
    <row r="52" spans="2:3" s="3321" customFormat="1" ht="14.25" customHeight="1">
      <c r="B52" s="3283"/>
      <c r="C52" s="3284"/>
    </row>
  </sheetData>
  <sheetProtection password="CED6" sheet="1" objects="1" scenarios="1"/>
  <mergeCells count="2">
    <mergeCell ref="C1:D1"/>
    <mergeCell ref="C2:D2"/>
  </mergeCells>
  <printOptions horizontalCentered="1"/>
  <pageMargins left="0.2" right="0" top="0" bottom="0" header="0" footer="0"/>
  <pageSetup paperSize="9" scale="80" orientation="portrait" r:id="rId1"/>
  <headerFooter alignWithMargins="0"/>
  <rowBreaks count="1" manualBreakCount="1">
    <brk id="51" min="1" max="8"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8">
    <tabColor rgb="FFFFFF00"/>
  </sheetPr>
  <dimension ref="A1:E37"/>
  <sheetViews>
    <sheetView zoomScaleNormal="100" workbookViewId="0">
      <selection activeCell="D10" sqref="D10"/>
    </sheetView>
  </sheetViews>
  <sheetFormatPr defaultRowHeight="12.75"/>
  <cols>
    <col min="1" max="1" width="19.5703125" style="3287" customWidth="1"/>
    <col min="2" max="2" width="15.5703125" style="3296" customWidth="1"/>
    <col min="3" max="3" width="72.5703125" style="3287" customWidth="1"/>
    <col min="4" max="4" width="18.5703125" style="3287" customWidth="1"/>
    <col min="5" max="5" width="24.28515625" style="3287" customWidth="1"/>
    <col min="6" max="256" width="9.140625" style="3287"/>
    <col min="257" max="257" width="19.5703125" style="3287" customWidth="1"/>
    <col min="258" max="258" width="15.5703125" style="3287" customWidth="1"/>
    <col min="259" max="259" width="74.42578125" style="3287" customWidth="1"/>
    <col min="260" max="260" width="16.28515625" style="3287" customWidth="1"/>
    <col min="261" max="261" width="19.28515625" style="3287" customWidth="1"/>
    <col min="262" max="512" width="9.140625" style="3287"/>
    <col min="513" max="513" width="19.5703125" style="3287" customWidth="1"/>
    <col min="514" max="514" width="15.5703125" style="3287" customWidth="1"/>
    <col min="515" max="515" width="74.42578125" style="3287" customWidth="1"/>
    <col min="516" max="516" width="16.28515625" style="3287" customWidth="1"/>
    <col min="517" max="517" width="19.28515625" style="3287" customWidth="1"/>
    <col min="518" max="768" width="9.140625" style="3287"/>
    <col min="769" max="769" width="19.5703125" style="3287" customWidth="1"/>
    <col min="770" max="770" width="15.5703125" style="3287" customWidth="1"/>
    <col min="771" max="771" width="74.42578125" style="3287" customWidth="1"/>
    <col min="772" max="772" width="16.28515625" style="3287" customWidth="1"/>
    <col min="773" max="773" width="19.28515625" style="3287" customWidth="1"/>
    <col min="774" max="1024" width="9.140625" style="3287"/>
    <col min="1025" max="1025" width="19.5703125" style="3287" customWidth="1"/>
    <col min="1026" max="1026" width="15.5703125" style="3287" customWidth="1"/>
    <col min="1027" max="1027" width="74.42578125" style="3287" customWidth="1"/>
    <col min="1028" max="1028" width="16.28515625" style="3287" customWidth="1"/>
    <col min="1029" max="1029" width="19.28515625" style="3287" customWidth="1"/>
    <col min="1030" max="1280" width="9.140625" style="3287"/>
    <col min="1281" max="1281" width="19.5703125" style="3287" customWidth="1"/>
    <col min="1282" max="1282" width="15.5703125" style="3287" customWidth="1"/>
    <col min="1283" max="1283" width="74.42578125" style="3287" customWidth="1"/>
    <col min="1284" max="1284" width="16.28515625" style="3287" customWidth="1"/>
    <col min="1285" max="1285" width="19.28515625" style="3287" customWidth="1"/>
    <col min="1286" max="1536" width="9.140625" style="3287"/>
    <col min="1537" max="1537" width="19.5703125" style="3287" customWidth="1"/>
    <col min="1538" max="1538" width="15.5703125" style="3287" customWidth="1"/>
    <col min="1539" max="1539" width="74.42578125" style="3287" customWidth="1"/>
    <col min="1540" max="1540" width="16.28515625" style="3287" customWidth="1"/>
    <col min="1541" max="1541" width="19.28515625" style="3287" customWidth="1"/>
    <col min="1542" max="1792" width="9.140625" style="3287"/>
    <col min="1793" max="1793" width="19.5703125" style="3287" customWidth="1"/>
    <col min="1794" max="1794" width="15.5703125" style="3287" customWidth="1"/>
    <col min="1795" max="1795" width="74.42578125" style="3287" customWidth="1"/>
    <col min="1796" max="1796" width="16.28515625" style="3287" customWidth="1"/>
    <col min="1797" max="1797" width="19.28515625" style="3287" customWidth="1"/>
    <col min="1798" max="2048" width="9.140625" style="3287"/>
    <col min="2049" max="2049" width="19.5703125" style="3287" customWidth="1"/>
    <col min="2050" max="2050" width="15.5703125" style="3287" customWidth="1"/>
    <col min="2051" max="2051" width="74.42578125" style="3287" customWidth="1"/>
    <col min="2052" max="2052" width="16.28515625" style="3287" customWidth="1"/>
    <col min="2053" max="2053" width="19.28515625" style="3287" customWidth="1"/>
    <col min="2054" max="2304" width="9.140625" style="3287"/>
    <col min="2305" max="2305" width="19.5703125" style="3287" customWidth="1"/>
    <col min="2306" max="2306" width="15.5703125" style="3287" customWidth="1"/>
    <col min="2307" max="2307" width="74.42578125" style="3287" customWidth="1"/>
    <col min="2308" max="2308" width="16.28515625" style="3287" customWidth="1"/>
    <col min="2309" max="2309" width="19.28515625" style="3287" customWidth="1"/>
    <col min="2310" max="2560" width="9.140625" style="3287"/>
    <col min="2561" max="2561" width="19.5703125" style="3287" customWidth="1"/>
    <col min="2562" max="2562" width="15.5703125" style="3287" customWidth="1"/>
    <col min="2563" max="2563" width="74.42578125" style="3287" customWidth="1"/>
    <col min="2564" max="2564" width="16.28515625" style="3287" customWidth="1"/>
    <col min="2565" max="2565" width="19.28515625" style="3287" customWidth="1"/>
    <col min="2566" max="2816" width="9.140625" style="3287"/>
    <col min="2817" max="2817" width="19.5703125" style="3287" customWidth="1"/>
    <col min="2818" max="2818" width="15.5703125" style="3287" customWidth="1"/>
    <col min="2819" max="2819" width="74.42578125" style="3287" customWidth="1"/>
    <col min="2820" max="2820" width="16.28515625" style="3287" customWidth="1"/>
    <col min="2821" max="2821" width="19.28515625" style="3287" customWidth="1"/>
    <col min="2822" max="3072" width="9.140625" style="3287"/>
    <col min="3073" max="3073" width="19.5703125" style="3287" customWidth="1"/>
    <col min="3074" max="3074" width="15.5703125" style="3287" customWidth="1"/>
    <col min="3075" max="3075" width="74.42578125" style="3287" customWidth="1"/>
    <col min="3076" max="3076" width="16.28515625" style="3287" customWidth="1"/>
    <col min="3077" max="3077" width="19.28515625" style="3287" customWidth="1"/>
    <col min="3078" max="3328" width="9.140625" style="3287"/>
    <col min="3329" max="3329" width="19.5703125" style="3287" customWidth="1"/>
    <col min="3330" max="3330" width="15.5703125" style="3287" customWidth="1"/>
    <col min="3331" max="3331" width="74.42578125" style="3287" customWidth="1"/>
    <col min="3332" max="3332" width="16.28515625" style="3287" customWidth="1"/>
    <col min="3333" max="3333" width="19.28515625" style="3287" customWidth="1"/>
    <col min="3334" max="3584" width="9.140625" style="3287"/>
    <col min="3585" max="3585" width="19.5703125" style="3287" customWidth="1"/>
    <col min="3586" max="3586" width="15.5703125" style="3287" customWidth="1"/>
    <col min="3587" max="3587" width="74.42578125" style="3287" customWidth="1"/>
    <col min="3588" max="3588" width="16.28515625" style="3287" customWidth="1"/>
    <col min="3589" max="3589" width="19.28515625" style="3287" customWidth="1"/>
    <col min="3590" max="3840" width="9.140625" style="3287"/>
    <col min="3841" max="3841" width="19.5703125" style="3287" customWidth="1"/>
    <col min="3842" max="3842" width="15.5703125" style="3287" customWidth="1"/>
    <col min="3843" max="3843" width="74.42578125" style="3287" customWidth="1"/>
    <col min="3844" max="3844" width="16.28515625" style="3287" customWidth="1"/>
    <col min="3845" max="3845" width="19.28515625" style="3287" customWidth="1"/>
    <col min="3846" max="4096" width="9.140625" style="3287"/>
    <col min="4097" max="4097" width="19.5703125" style="3287" customWidth="1"/>
    <col min="4098" max="4098" width="15.5703125" style="3287" customWidth="1"/>
    <col min="4099" max="4099" width="74.42578125" style="3287" customWidth="1"/>
    <col min="4100" max="4100" width="16.28515625" style="3287" customWidth="1"/>
    <col min="4101" max="4101" width="19.28515625" style="3287" customWidth="1"/>
    <col min="4102" max="4352" width="9.140625" style="3287"/>
    <col min="4353" max="4353" width="19.5703125" style="3287" customWidth="1"/>
    <col min="4354" max="4354" width="15.5703125" style="3287" customWidth="1"/>
    <col min="4355" max="4355" width="74.42578125" style="3287" customWidth="1"/>
    <col min="4356" max="4356" width="16.28515625" style="3287" customWidth="1"/>
    <col min="4357" max="4357" width="19.28515625" style="3287" customWidth="1"/>
    <col min="4358" max="4608" width="9.140625" style="3287"/>
    <col min="4609" max="4609" width="19.5703125" style="3287" customWidth="1"/>
    <col min="4610" max="4610" width="15.5703125" style="3287" customWidth="1"/>
    <col min="4611" max="4611" width="74.42578125" style="3287" customWidth="1"/>
    <col min="4612" max="4612" width="16.28515625" style="3287" customWidth="1"/>
    <col min="4613" max="4613" width="19.28515625" style="3287" customWidth="1"/>
    <col min="4614" max="4864" width="9.140625" style="3287"/>
    <col min="4865" max="4865" width="19.5703125" style="3287" customWidth="1"/>
    <col min="4866" max="4866" width="15.5703125" style="3287" customWidth="1"/>
    <col min="4867" max="4867" width="74.42578125" style="3287" customWidth="1"/>
    <col min="4868" max="4868" width="16.28515625" style="3287" customWidth="1"/>
    <col min="4869" max="4869" width="19.28515625" style="3287" customWidth="1"/>
    <col min="4870" max="5120" width="9.140625" style="3287"/>
    <col min="5121" max="5121" width="19.5703125" style="3287" customWidth="1"/>
    <col min="5122" max="5122" width="15.5703125" style="3287" customWidth="1"/>
    <col min="5123" max="5123" width="74.42578125" style="3287" customWidth="1"/>
    <col min="5124" max="5124" width="16.28515625" style="3287" customWidth="1"/>
    <col min="5125" max="5125" width="19.28515625" style="3287" customWidth="1"/>
    <col min="5126" max="5376" width="9.140625" style="3287"/>
    <col min="5377" max="5377" width="19.5703125" style="3287" customWidth="1"/>
    <col min="5378" max="5378" width="15.5703125" style="3287" customWidth="1"/>
    <col min="5379" max="5379" width="74.42578125" style="3287" customWidth="1"/>
    <col min="5380" max="5380" width="16.28515625" style="3287" customWidth="1"/>
    <col min="5381" max="5381" width="19.28515625" style="3287" customWidth="1"/>
    <col min="5382" max="5632" width="9.140625" style="3287"/>
    <col min="5633" max="5633" width="19.5703125" style="3287" customWidth="1"/>
    <col min="5634" max="5634" width="15.5703125" style="3287" customWidth="1"/>
    <col min="5635" max="5635" width="74.42578125" style="3287" customWidth="1"/>
    <col min="5636" max="5636" width="16.28515625" style="3287" customWidth="1"/>
    <col min="5637" max="5637" width="19.28515625" style="3287" customWidth="1"/>
    <col min="5638" max="5888" width="9.140625" style="3287"/>
    <col min="5889" max="5889" width="19.5703125" style="3287" customWidth="1"/>
    <col min="5890" max="5890" width="15.5703125" style="3287" customWidth="1"/>
    <col min="5891" max="5891" width="74.42578125" style="3287" customWidth="1"/>
    <col min="5892" max="5892" width="16.28515625" style="3287" customWidth="1"/>
    <col min="5893" max="5893" width="19.28515625" style="3287" customWidth="1"/>
    <col min="5894" max="6144" width="9.140625" style="3287"/>
    <col min="6145" max="6145" width="19.5703125" style="3287" customWidth="1"/>
    <col min="6146" max="6146" width="15.5703125" style="3287" customWidth="1"/>
    <col min="6147" max="6147" width="74.42578125" style="3287" customWidth="1"/>
    <col min="6148" max="6148" width="16.28515625" style="3287" customWidth="1"/>
    <col min="6149" max="6149" width="19.28515625" style="3287" customWidth="1"/>
    <col min="6150" max="6400" width="9.140625" style="3287"/>
    <col min="6401" max="6401" width="19.5703125" style="3287" customWidth="1"/>
    <col min="6402" max="6402" width="15.5703125" style="3287" customWidth="1"/>
    <col min="6403" max="6403" width="74.42578125" style="3287" customWidth="1"/>
    <col min="6404" max="6404" width="16.28515625" style="3287" customWidth="1"/>
    <col min="6405" max="6405" width="19.28515625" style="3287" customWidth="1"/>
    <col min="6406" max="6656" width="9.140625" style="3287"/>
    <col min="6657" max="6657" width="19.5703125" style="3287" customWidth="1"/>
    <col min="6658" max="6658" width="15.5703125" style="3287" customWidth="1"/>
    <col min="6659" max="6659" width="74.42578125" style="3287" customWidth="1"/>
    <col min="6660" max="6660" width="16.28515625" style="3287" customWidth="1"/>
    <col min="6661" max="6661" width="19.28515625" style="3287" customWidth="1"/>
    <col min="6662" max="6912" width="9.140625" style="3287"/>
    <col min="6913" max="6913" width="19.5703125" style="3287" customWidth="1"/>
    <col min="6914" max="6914" width="15.5703125" style="3287" customWidth="1"/>
    <col min="6915" max="6915" width="74.42578125" style="3287" customWidth="1"/>
    <col min="6916" max="6916" width="16.28515625" style="3287" customWidth="1"/>
    <col min="6917" max="6917" width="19.28515625" style="3287" customWidth="1"/>
    <col min="6918" max="7168" width="9.140625" style="3287"/>
    <col min="7169" max="7169" width="19.5703125" style="3287" customWidth="1"/>
    <col min="7170" max="7170" width="15.5703125" style="3287" customWidth="1"/>
    <col min="7171" max="7171" width="74.42578125" style="3287" customWidth="1"/>
    <col min="7172" max="7172" width="16.28515625" style="3287" customWidth="1"/>
    <col min="7173" max="7173" width="19.28515625" style="3287" customWidth="1"/>
    <col min="7174" max="7424" width="9.140625" style="3287"/>
    <col min="7425" max="7425" width="19.5703125" style="3287" customWidth="1"/>
    <col min="7426" max="7426" width="15.5703125" style="3287" customWidth="1"/>
    <col min="7427" max="7427" width="74.42578125" style="3287" customWidth="1"/>
    <col min="7428" max="7428" width="16.28515625" style="3287" customWidth="1"/>
    <col min="7429" max="7429" width="19.28515625" style="3287" customWidth="1"/>
    <col min="7430" max="7680" width="9.140625" style="3287"/>
    <col min="7681" max="7681" width="19.5703125" style="3287" customWidth="1"/>
    <col min="7682" max="7682" width="15.5703125" style="3287" customWidth="1"/>
    <col min="7683" max="7683" width="74.42578125" style="3287" customWidth="1"/>
    <col min="7684" max="7684" width="16.28515625" style="3287" customWidth="1"/>
    <col min="7685" max="7685" width="19.28515625" style="3287" customWidth="1"/>
    <col min="7686" max="7936" width="9.140625" style="3287"/>
    <col min="7937" max="7937" width="19.5703125" style="3287" customWidth="1"/>
    <col min="7938" max="7938" width="15.5703125" style="3287" customWidth="1"/>
    <col min="7939" max="7939" width="74.42578125" style="3287" customWidth="1"/>
    <col min="7940" max="7940" width="16.28515625" style="3287" customWidth="1"/>
    <col min="7941" max="7941" width="19.28515625" style="3287" customWidth="1"/>
    <col min="7942" max="8192" width="9.140625" style="3287"/>
    <col min="8193" max="8193" width="19.5703125" style="3287" customWidth="1"/>
    <col min="8194" max="8194" width="15.5703125" style="3287" customWidth="1"/>
    <col min="8195" max="8195" width="74.42578125" style="3287" customWidth="1"/>
    <col min="8196" max="8196" width="16.28515625" style="3287" customWidth="1"/>
    <col min="8197" max="8197" width="19.28515625" style="3287" customWidth="1"/>
    <col min="8198" max="8448" width="9.140625" style="3287"/>
    <col min="8449" max="8449" width="19.5703125" style="3287" customWidth="1"/>
    <col min="8450" max="8450" width="15.5703125" style="3287" customWidth="1"/>
    <col min="8451" max="8451" width="74.42578125" style="3287" customWidth="1"/>
    <col min="8452" max="8452" width="16.28515625" style="3287" customWidth="1"/>
    <col min="8453" max="8453" width="19.28515625" style="3287" customWidth="1"/>
    <col min="8454" max="8704" width="9.140625" style="3287"/>
    <col min="8705" max="8705" width="19.5703125" style="3287" customWidth="1"/>
    <col min="8706" max="8706" width="15.5703125" style="3287" customWidth="1"/>
    <col min="8707" max="8707" width="74.42578125" style="3287" customWidth="1"/>
    <col min="8708" max="8708" width="16.28515625" style="3287" customWidth="1"/>
    <col min="8709" max="8709" width="19.28515625" style="3287" customWidth="1"/>
    <col min="8710" max="8960" width="9.140625" style="3287"/>
    <col min="8961" max="8961" width="19.5703125" style="3287" customWidth="1"/>
    <col min="8962" max="8962" width="15.5703125" style="3287" customWidth="1"/>
    <col min="8963" max="8963" width="74.42578125" style="3287" customWidth="1"/>
    <col min="8964" max="8964" width="16.28515625" style="3287" customWidth="1"/>
    <col min="8965" max="8965" width="19.28515625" style="3287" customWidth="1"/>
    <col min="8966" max="9216" width="9.140625" style="3287"/>
    <col min="9217" max="9217" width="19.5703125" style="3287" customWidth="1"/>
    <col min="9218" max="9218" width="15.5703125" style="3287" customWidth="1"/>
    <col min="9219" max="9219" width="74.42578125" style="3287" customWidth="1"/>
    <col min="9220" max="9220" width="16.28515625" style="3287" customWidth="1"/>
    <col min="9221" max="9221" width="19.28515625" style="3287" customWidth="1"/>
    <col min="9222" max="9472" width="9.140625" style="3287"/>
    <col min="9473" max="9473" width="19.5703125" style="3287" customWidth="1"/>
    <col min="9474" max="9474" width="15.5703125" style="3287" customWidth="1"/>
    <col min="9475" max="9475" width="74.42578125" style="3287" customWidth="1"/>
    <col min="9476" max="9476" width="16.28515625" style="3287" customWidth="1"/>
    <col min="9477" max="9477" width="19.28515625" style="3287" customWidth="1"/>
    <col min="9478" max="9728" width="9.140625" style="3287"/>
    <col min="9729" max="9729" width="19.5703125" style="3287" customWidth="1"/>
    <col min="9730" max="9730" width="15.5703125" style="3287" customWidth="1"/>
    <col min="9731" max="9731" width="74.42578125" style="3287" customWidth="1"/>
    <col min="9732" max="9732" width="16.28515625" style="3287" customWidth="1"/>
    <col min="9733" max="9733" width="19.28515625" style="3287" customWidth="1"/>
    <col min="9734" max="9984" width="9.140625" style="3287"/>
    <col min="9985" max="9985" width="19.5703125" style="3287" customWidth="1"/>
    <col min="9986" max="9986" width="15.5703125" style="3287" customWidth="1"/>
    <col min="9987" max="9987" width="74.42578125" style="3287" customWidth="1"/>
    <col min="9988" max="9988" width="16.28515625" style="3287" customWidth="1"/>
    <col min="9989" max="9989" width="19.28515625" style="3287" customWidth="1"/>
    <col min="9990" max="10240" width="9.140625" style="3287"/>
    <col min="10241" max="10241" width="19.5703125" style="3287" customWidth="1"/>
    <col min="10242" max="10242" width="15.5703125" style="3287" customWidth="1"/>
    <col min="10243" max="10243" width="74.42578125" style="3287" customWidth="1"/>
    <col min="10244" max="10244" width="16.28515625" style="3287" customWidth="1"/>
    <col min="10245" max="10245" width="19.28515625" style="3287" customWidth="1"/>
    <col min="10246" max="10496" width="9.140625" style="3287"/>
    <col min="10497" max="10497" width="19.5703125" style="3287" customWidth="1"/>
    <col min="10498" max="10498" width="15.5703125" style="3287" customWidth="1"/>
    <col min="10499" max="10499" width="74.42578125" style="3287" customWidth="1"/>
    <col min="10500" max="10500" width="16.28515625" style="3287" customWidth="1"/>
    <col min="10501" max="10501" width="19.28515625" style="3287" customWidth="1"/>
    <col min="10502" max="10752" width="9.140625" style="3287"/>
    <col min="10753" max="10753" width="19.5703125" style="3287" customWidth="1"/>
    <col min="10754" max="10754" width="15.5703125" style="3287" customWidth="1"/>
    <col min="10755" max="10755" width="74.42578125" style="3287" customWidth="1"/>
    <col min="10756" max="10756" width="16.28515625" style="3287" customWidth="1"/>
    <col min="10757" max="10757" width="19.28515625" style="3287" customWidth="1"/>
    <col min="10758" max="11008" width="9.140625" style="3287"/>
    <col min="11009" max="11009" width="19.5703125" style="3287" customWidth="1"/>
    <col min="11010" max="11010" width="15.5703125" style="3287" customWidth="1"/>
    <col min="11011" max="11011" width="74.42578125" style="3287" customWidth="1"/>
    <col min="11012" max="11012" width="16.28515625" style="3287" customWidth="1"/>
    <col min="11013" max="11013" width="19.28515625" style="3287" customWidth="1"/>
    <col min="11014" max="11264" width="9.140625" style="3287"/>
    <col min="11265" max="11265" width="19.5703125" style="3287" customWidth="1"/>
    <col min="11266" max="11266" width="15.5703125" style="3287" customWidth="1"/>
    <col min="11267" max="11267" width="74.42578125" style="3287" customWidth="1"/>
    <col min="11268" max="11268" width="16.28515625" style="3287" customWidth="1"/>
    <col min="11269" max="11269" width="19.28515625" style="3287" customWidth="1"/>
    <col min="11270" max="11520" width="9.140625" style="3287"/>
    <col min="11521" max="11521" width="19.5703125" style="3287" customWidth="1"/>
    <col min="11522" max="11522" width="15.5703125" style="3287" customWidth="1"/>
    <col min="11523" max="11523" width="74.42578125" style="3287" customWidth="1"/>
    <col min="11524" max="11524" width="16.28515625" style="3287" customWidth="1"/>
    <col min="11525" max="11525" width="19.28515625" style="3287" customWidth="1"/>
    <col min="11526" max="11776" width="9.140625" style="3287"/>
    <col min="11777" max="11777" width="19.5703125" style="3287" customWidth="1"/>
    <col min="11778" max="11778" width="15.5703125" style="3287" customWidth="1"/>
    <col min="11779" max="11779" width="74.42578125" style="3287" customWidth="1"/>
    <col min="11780" max="11780" width="16.28515625" style="3287" customWidth="1"/>
    <col min="11781" max="11781" width="19.28515625" style="3287" customWidth="1"/>
    <col min="11782" max="12032" width="9.140625" style="3287"/>
    <col min="12033" max="12033" width="19.5703125" style="3287" customWidth="1"/>
    <col min="12034" max="12034" width="15.5703125" style="3287" customWidth="1"/>
    <col min="12035" max="12035" width="74.42578125" style="3287" customWidth="1"/>
    <col min="12036" max="12036" width="16.28515625" style="3287" customWidth="1"/>
    <col min="12037" max="12037" width="19.28515625" style="3287" customWidth="1"/>
    <col min="12038" max="12288" width="9.140625" style="3287"/>
    <col min="12289" max="12289" width="19.5703125" style="3287" customWidth="1"/>
    <col min="12290" max="12290" width="15.5703125" style="3287" customWidth="1"/>
    <col min="12291" max="12291" width="74.42578125" style="3287" customWidth="1"/>
    <col min="12292" max="12292" width="16.28515625" style="3287" customWidth="1"/>
    <col min="12293" max="12293" width="19.28515625" style="3287" customWidth="1"/>
    <col min="12294" max="12544" width="9.140625" style="3287"/>
    <col min="12545" max="12545" width="19.5703125" style="3287" customWidth="1"/>
    <col min="12546" max="12546" width="15.5703125" style="3287" customWidth="1"/>
    <col min="12547" max="12547" width="74.42578125" style="3287" customWidth="1"/>
    <col min="12548" max="12548" width="16.28515625" style="3287" customWidth="1"/>
    <col min="12549" max="12549" width="19.28515625" style="3287" customWidth="1"/>
    <col min="12550" max="12800" width="9.140625" style="3287"/>
    <col min="12801" max="12801" width="19.5703125" style="3287" customWidth="1"/>
    <col min="12802" max="12802" width="15.5703125" style="3287" customWidth="1"/>
    <col min="12803" max="12803" width="74.42578125" style="3287" customWidth="1"/>
    <col min="12804" max="12804" width="16.28515625" style="3287" customWidth="1"/>
    <col min="12805" max="12805" width="19.28515625" style="3287" customWidth="1"/>
    <col min="12806" max="13056" width="9.140625" style="3287"/>
    <col min="13057" max="13057" width="19.5703125" style="3287" customWidth="1"/>
    <col min="13058" max="13058" width="15.5703125" style="3287" customWidth="1"/>
    <col min="13059" max="13059" width="74.42578125" style="3287" customWidth="1"/>
    <col min="13060" max="13060" width="16.28515625" style="3287" customWidth="1"/>
    <col min="13061" max="13061" width="19.28515625" style="3287" customWidth="1"/>
    <col min="13062" max="13312" width="9.140625" style="3287"/>
    <col min="13313" max="13313" width="19.5703125" style="3287" customWidth="1"/>
    <col min="13314" max="13314" width="15.5703125" style="3287" customWidth="1"/>
    <col min="13315" max="13315" width="74.42578125" style="3287" customWidth="1"/>
    <col min="13316" max="13316" width="16.28515625" style="3287" customWidth="1"/>
    <col min="13317" max="13317" width="19.28515625" style="3287" customWidth="1"/>
    <col min="13318" max="13568" width="9.140625" style="3287"/>
    <col min="13569" max="13569" width="19.5703125" style="3287" customWidth="1"/>
    <col min="13570" max="13570" width="15.5703125" style="3287" customWidth="1"/>
    <col min="13571" max="13571" width="74.42578125" style="3287" customWidth="1"/>
    <col min="13572" max="13572" width="16.28515625" style="3287" customWidth="1"/>
    <col min="13573" max="13573" width="19.28515625" style="3287" customWidth="1"/>
    <col min="13574" max="13824" width="9.140625" style="3287"/>
    <col min="13825" max="13825" width="19.5703125" style="3287" customWidth="1"/>
    <col min="13826" max="13826" width="15.5703125" style="3287" customWidth="1"/>
    <col min="13827" max="13827" width="74.42578125" style="3287" customWidth="1"/>
    <col min="13828" max="13828" width="16.28515625" style="3287" customWidth="1"/>
    <col min="13829" max="13829" width="19.28515625" style="3287" customWidth="1"/>
    <col min="13830" max="14080" width="9.140625" style="3287"/>
    <col min="14081" max="14081" width="19.5703125" style="3287" customWidth="1"/>
    <col min="14082" max="14082" width="15.5703125" style="3287" customWidth="1"/>
    <col min="14083" max="14083" width="74.42578125" style="3287" customWidth="1"/>
    <col min="14084" max="14084" width="16.28515625" style="3287" customWidth="1"/>
    <col min="14085" max="14085" width="19.28515625" style="3287" customWidth="1"/>
    <col min="14086" max="14336" width="9.140625" style="3287"/>
    <col min="14337" max="14337" width="19.5703125" style="3287" customWidth="1"/>
    <col min="14338" max="14338" width="15.5703125" style="3287" customWidth="1"/>
    <col min="14339" max="14339" width="74.42578125" style="3287" customWidth="1"/>
    <col min="14340" max="14340" width="16.28515625" style="3287" customWidth="1"/>
    <col min="14341" max="14341" width="19.28515625" style="3287" customWidth="1"/>
    <col min="14342" max="14592" width="9.140625" style="3287"/>
    <col min="14593" max="14593" width="19.5703125" style="3287" customWidth="1"/>
    <col min="14594" max="14594" width="15.5703125" style="3287" customWidth="1"/>
    <col min="14595" max="14595" width="74.42578125" style="3287" customWidth="1"/>
    <col min="14596" max="14596" width="16.28515625" style="3287" customWidth="1"/>
    <col min="14597" max="14597" width="19.28515625" style="3287" customWidth="1"/>
    <col min="14598" max="14848" width="9.140625" style="3287"/>
    <col min="14849" max="14849" width="19.5703125" style="3287" customWidth="1"/>
    <col min="14850" max="14850" width="15.5703125" style="3287" customWidth="1"/>
    <col min="14851" max="14851" width="74.42578125" style="3287" customWidth="1"/>
    <col min="14852" max="14852" width="16.28515625" style="3287" customWidth="1"/>
    <col min="14853" max="14853" width="19.28515625" style="3287" customWidth="1"/>
    <col min="14854" max="15104" width="9.140625" style="3287"/>
    <col min="15105" max="15105" width="19.5703125" style="3287" customWidth="1"/>
    <col min="15106" max="15106" width="15.5703125" style="3287" customWidth="1"/>
    <col min="15107" max="15107" width="74.42578125" style="3287" customWidth="1"/>
    <col min="15108" max="15108" width="16.28515625" style="3287" customWidth="1"/>
    <col min="15109" max="15109" width="19.28515625" style="3287" customWidth="1"/>
    <col min="15110" max="15360" width="9.140625" style="3287"/>
    <col min="15361" max="15361" width="19.5703125" style="3287" customWidth="1"/>
    <col min="15362" max="15362" width="15.5703125" style="3287" customWidth="1"/>
    <col min="15363" max="15363" width="74.42578125" style="3287" customWidth="1"/>
    <col min="15364" max="15364" width="16.28515625" style="3287" customWidth="1"/>
    <col min="15365" max="15365" width="19.28515625" style="3287" customWidth="1"/>
    <col min="15366" max="15616" width="9.140625" style="3287"/>
    <col min="15617" max="15617" width="19.5703125" style="3287" customWidth="1"/>
    <col min="15618" max="15618" width="15.5703125" style="3287" customWidth="1"/>
    <col min="15619" max="15619" width="74.42578125" style="3287" customWidth="1"/>
    <col min="15620" max="15620" width="16.28515625" style="3287" customWidth="1"/>
    <col min="15621" max="15621" width="19.28515625" style="3287" customWidth="1"/>
    <col min="15622" max="15872" width="9.140625" style="3287"/>
    <col min="15873" max="15873" width="19.5703125" style="3287" customWidth="1"/>
    <col min="15874" max="15874" width="15.5703125" style="3287" customWidth="1"/>
    <col min="15875" max="15875" width="74.42578125" style="3287" customWidth="1"/>
    <col min="15876" max="15876" width="16.28515625" style="3287" customWidth="1"/>
    <col min="15877" max="15877" width="19.28515625" style="3287" customWidth="1"/>
    <col min="15878" max="16128" width="9.140625" style="3287"/>
    <col min="16129" max="16129" width="19.5703125" style="3287" customWidth="1"/>
    <col min="16130" max="16130" width="15.5703125" style="3287" customWidth="1"/>
    <col min="16131" max="16131" width="74.42578125" style="3287" customWidth="1"/>
    <col min="16132" max="16132" width="16.28515625" style="3287" customWidth="1"/>
    <col min="16133" max="16133" width="19.28515625" style="3287" customWidth="1"/>
    <col min="16134" max="16384" width="9.140625" style="3287"/>
  </cols>
  <sheetData>
    <row r="1" spans="1:5" ht="15">
      <c r="A1" s="3243" t="str">
        <f>+'F MANAG SI ADM'!A1</f>
        <v>CASA  DE  ASIGURĂRI  DE  SĂNĂTATE MEHEDINTI</v>
      </c>
      <c r="B1" s="3285"/>
      <c r="D1" s="4662"/>
      <c r="E1" s="4662"/>
    </row>
    <row r="2" spans="1:5" ht="15">
      <c r="B2" s="3288"/>
      <c r="D2" s="4662"/>
      <c r="E2" s="4662"/>
    </row>
    <row r="3" spans="1:5" ht="15">
      <c r="B3" s="3288"/>
      <c r="D3" s="3336"/>
      <c r="E3" s="3336"/>
    </row>
    <row r="4" spans="1:5">
      <c r="B4" s="3290"/>
    </row>
    <row r="5" spans="1:5" ht="33.75" customHeight="1">
      <c r="A5" s="3325" t="s">
        <v>2594</v>
      </c>
      <c r="B5" s="3247" t="s">
        <v>2593</v>
      </c>
      <c r="C5" s="3247"/>
      <c r="D5" s="3247"/>
      <c r="E5" s="3247"/>
    </row>
    <row r="6" spans="1:5" ht="15">
      <c r="A6" s="3268"/>
      <c r="B6" s="3248"/>
      <c r="C6" s="3248"/>
      <c r="D6" s="3268"/>
      <c r="E6" s="3268"/>
    </row>
    <row r="7" spans="1:5" ht="15">
      <c r="A7" s="3268"/>
      <c r="B7" s="3248"/>
      <c r="C7" s="3268"/>
      <c r="D7" s="3249"/>
      <c r="E7" s="3268"/>
    </row>
    <row r="8" spans="1:5" ht="14.25">
      <c r="A8" s="3268"/>
      <c r="B8" s="3324"/>
      <c r="C8" s="3268"/>
      <c r="D8" s="3268"/>
      <c r="E8" s="3268"/>
    </row>
    <row r="9" spans="1:5" ht="14.25">
      <c r="A9" s="3268"/>
      <c r="B9" s="3268"/>
      <c r="C9" s="3324"/>
      <c r="D9" s="3326" t="s">
        <v>1031</v>
      </c>
      <c r="E9" s="3268"/>
    </row>
    <row r="10" spans="1:5" ht="15">
      <c r="A10" s="3268"/>
      <c r="B10" s="3255"/>
      <c r="C10" s="3256" t="s">
        <v>1364</v>
      </c>
      <c r="D10" s="3257" t="s">
        <v>2607</v>
      </c>
      <c r="E10" s="3268"/>
    </row>
    <row r="11" spans="1:5" ht="15">
      <c r="A11" s="3268"/>
      <c r="B11" s="3258"/>
      <c r="C11" s="3258" t="s">
        <v>1365</v>
      </c>
      <c r="D11" s="3259"/>
      <c r="E11" s="3268"/>
    </row>
    <row r="12" spans="1:5" ht="14.25">
      <c r="A12" s="3268"/>
      <c r="B12" s="3327"/>
      <c r="C12" s="3327" t="s">
        <v>793</v>
      </c>
      <c r="D12" s="3262">
        <f>D16</f>
        <v>14664000</v>
      </c>
      <c r="E12" s="3268"/>
    </row>
    <row r="13" spans="1:5" ht="14.25">
      <c r="A13" s="3268"/>
      <c r="B13" s="3327"/>
      <c r="C13" s="3327" t="s">
        <v>794</v>
      </c>
      <c r="D13" s="3262">
        <f>D17</f>
        <v>14664000</v>
      </c>
      <c r="E13" s="3268"/>
    </row>
    <row r="14" spans="1:5" ht="15">
      <c r="A14" s="3268"/>
      <c r="B14" s="3327"/>
      <c r="C14" s="3263" t="s">
        <v>795</v>
      </c>
      <c r="D14" s="3262"/>
      <c r="E14" s="3268"/>
    </row>
    <row r="15" spans="1:5" ht="15">
      <c r="A15" s="3268"/>
      <c r="B15" s="3255">
        <v>5005</v>
      </c>
      <c r="C15" s="3258" t="s">
        <v>1366</v>
      </c>
      <c r="D15" s="3262"/>
      <c r="E15" s="3268"/>
    </row>
    <row r="16" spans="1:5" ht="15">
      <c r="A16" s="3268"/>
      <c r="B16" s="3255"/>
      <c r="C16" s="3327" t="s">
        <v>793</v>
      </c>
      <c r="D16" s="3262">
        <f>D19</f>
        <v>14664000</v>
      </c>
      <c r="E16" s="3268"/>
    </row>
    <row r="17" spans="1:5" ht="15">
      <c r="A17" s="3268"/>
      <c r="B17" s="3255"/>
      <c r="C17" s="3327" t="s">
        <v>794</v>
      </c>
      <c r="D17" s="3262">
        <f>D20</f>
        <v>14664000</v>
      </c>
      <c r="E17" s="3268"/>
    </row>
    <row r="18" spans="1:5" ht="15">
      <c r="A18" s="3268"/>
      <c r="B18" s="3255">
        <v>6805</v>
      </c>
      <c r="C18" s="3258" t="s">
        <v>2281</v>
      </c>
      <c r="D18" s="3262"/>
      <c r="E18" s="3268"/>
    </row>
    <row r="19" spans="1:5" ht="15">
      <c r="A19" s="3268"/>
      <c r="B19" s="3255"/>
      <c r="C19" s="3327" t="s">
        <v>793</v>
      </c>
      <c r="D19" s="3262">
        <f>D22</f>
        <v>14664000</v>
      </c>
      <c r="E19" s="3268"/>
    </row>
    <row r="20" spans="1:5" ht="15">
      <c r="A20" s="3268"/>
      <c r="B20" s="3255"/>
      <c r="C20" s="3327" t="s">
        <v>794</v>
      </c>
      <c r="D20" s="3262">
        <f>D23</f>
        <v>14664000</v>
      </c>
      <c r="E20" s="3268"/>
    </row>
    <row r="21" spans="1:5" ht="15">
      <c r="A21" s="3268"/>
      <c r="B21" s="3255">
        <v>680557</v>
      </c>
      <c r="C21" s="3258" t="s">
        <v>2595</v>
      </c>
      <c r="D21" s="3262"/>
      <c r="E21" s="3268"/>
    </row>
    <row r="22" spans="1:5" ht="15">
      <c r="A22" s="3268"/>
      <c r="B22" s="3255"/>
      <c r="C22" s="3327" t="s">
        <v>793</v>
      </c>
      <c r="D22" s="3262">
        <f>+'CONT EXECUTIE  '!C14</f>
        <v>14664000</v>
      </c>
      <c r="E22" s="3328"/>
    </row>
    <row r="23" spans="1:5" ht="15">
      <c r="A23" s="3268"/>
      <c r="B23" s="3255"/>
      <c r="C23" s="3327" t="s">
        <v>794</v>
      </c>
      <c r="D23" s="3262">
        <f>+'CONT EXECUTIE  '!E14</f>
        <v>14664000</v>
      </c>
      <c r="E23" s="3328"/>
    </row>
    <row r="24" spans="1:5" ht="15">
      <c r="A24" s="3268"/>
      <c r="B24" s="3329"/>
      <c r="C24" s="3271"/>
      <c r="D24" s="3330"/>
      <c r="E24" s="3268"/>
    </row>
    <row r="25" spans="1:5" ht="14.25">
      <c r="A25" s="3268"/>
      <c r="B25" s="3324"/>
      <c r="C25" s="3268"/>
      <c r="D25" s="3268"/>
      <c r="E25" s="3268"/>
    </row>
    <row r="26" spans="1:5" ht="15">
      <c r="A26" s="3268"/>
      <c r="B26" s="3273" t="str">
        <f>+'F MANAG SI ADM'!B41</f>
        <v>DIRECTOR  GENERAL,</v>
      </c>
      <c r="C26" s="3268"/>
      <c r="D26" s="3350" t="str">
        <f>+'F MANAG SI ADM'!C41</f>
        <v>DIRECTOR  EXECUTIV  ECONOMIC,</v>
      </c>
      <c r="E26" s="3268"/>
    </row>
    <row r="27" spans="1:5" ht="23.25" customHeight="1">
      <c r="A27" s="3268"/>
      <c r="B27" s="3273"/>
      <c r="C27" s="3253"/>
      <c r="D27" s="3350"/>
      <c r="E27" s="3268"/>
    </row>
    <row r="28" spans="1:5" ht="15">
      <c r="A28" s="3268"/>
      <c r="B28" s="3273" t="str">
        <f>+'F MANAG SI ADM'!B43</f>
        <v>EC.ALBU DRINA</v>
      </c>
      <c r="C28" s="3324"/>
      <c r="D28" s="3350" t="str">
        <f>+'F MANAG SI ADM'!C43</f>
        <v>EC.BIRCU FLORINA</v>
      </c>
      <c r="E28" s="3324"/>
    </row>
    <row r="29" spans="1:5" ht="15">
      <c r="B29" s="3273">
        <f>+'F MANAG SI ADM'!B44</f>
        <v>0</v>
      </c>
      <c r="C29" s="3320"/>
      <c r="D29" s="3350"/>
    </row>
    <row r="30" spans="1:5">
      <c r="B30" s="4665"/>
      <c r="C30" s="4665"/>
    </row>
    <row r="31" spans="1:5">
      <c r="B31" s="4666"/>
      <c r="C31" s="4666"/>
    </row>
    <row r="32" spans="1:5" ht="14.25">
      <c r="B32" s="3276"/>
      <c r="C32" s="3277"/>
    </row>
    <row r="33" spans="2:3" s="3321" customFormat="1" ht="14.25">
      <c r="B33" s="3278"/>
      <c r="C33" s="3277"/>
    </row>
    <row r="34" spans="2:3" s="3321" customFormat="1">
      <c r="B34" s="3322"/>
      <c r="C34" s="3322"/>
    </row>
    <row r="35" spans="2:3" s="3321" customFormat="1" ht="14.25">
      <c r="B35" s="3277"/>
      <c r="C35" s="3322"/>
    </row>
    <row r="36" spans="2:3" s="3321" customFormat="1" ht="15">
      <c r="B36" s="3323"/>
      <c r="C36" s="3282"/>
    </row>
    <row r="37" spans="2:3" s="3321" customFormat="1" ht="14.25">
      <c r="B37" s="3283"/>
      <c r="C37" s="3284"/>
    </row>
  </sheetData>
  <sheetProtection password="CED6" sheet="1" objects="1" scenarios="1"/>
  <mergeCells count="4">
    <mergeCell ref="B30:C30"/>
    <mergeCell ref="B31:C31"/>
    <mergeCell ref="D1:E1"/>
    <mergeCell ref="D2:E2"/>
  </mergeCells>
  <printOptions horizontalCentered="1"/>
  <pageMargins left="0.45" right="0.2" top="0.42" bottom="0.17" header="0.16" footer="0.16"/>
  <pageSetup paperSize="9" scale="65" orientation="portrait" r:id="rId1"/>
  <headerFooter alignWithMargins="0"/>
  <rowBreaks count="1" manualBreakCount="1">
    <brk id="36" min="1" max="8"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00CC"/>
  </sheetPr>
  <dimension ref="A1:E224"/>
  <sheetViews>
    <sheetView zoomScaleNormal="100" workbookViewId="0">
      <selection activeCell="A220" sqref="A220"/>
    </sheetView>
  </sheetViews>
  <sheetFormatPr defaultColWidth="9.140625" defaultRowHeight="12.75"/>
  <cols>
    <col min="1" max="1" width="78.42578125" style="1825" customWidth="1"/>
    <col min="2" max="2" width="7.85546875" style="1825" hidden="1" customWidth="1"/>
    <col min="3" max="3" width="18.5703125" style="1884" customWidth="1"/>
    <col min="4" max="4" width="14.42578125" style="1826" customWidth="1"/>
    <col min="5" max="5" width="11.28515625" style="1826" customWidth="1"/>
    <col min="6" max="16384" width="9.140625" style="1826"/>
  </cols>
  <sheetData>
    <row r="1" spans="1:4" ht="15.75">
      <c r="A1" s="1824" t="str">
        <f>+'ANEXA 1'!A1</f>
        <v>CASA  DE  ASIGURĂRI  DE  SĂNĂTATE MEHEDINTI</v>
      </c>
    </row>
    <row r="3" spans="1:4" ht="71.25" customHeight="1">
      <c r="A3" s="4667" t="s">
        <v>2619</v>
      </c>
      <c r="B3" s="4667"/>
      <c r="C3" s="4667"/>
    </row>
    <row r="4" spans="1:4" ht="13.5">
      <c r="A4" s="1827"/>
      <c r="B4" s="1827"/>
    </row>
    <row r="5" spans="1:4" ht="13.5">
      <c r="A5" s="1827"/>
      <c r="B5" s="1827"/>
    </row>
    <row r="6" spans="1:4">
      <c r="C6" s="1885" t="s">
        <v>1031</v>
      </c>
    </row>
    <row r="7" spans="1:4" s="1828" customFormat="1" ht="49.5" customHeight="1">
      <c r="A7" s="1847" t="s">
        <v>1633</v>
      </c>
      <c r="B7" s="2378"/>
      <c r="C7" s="2379" t="s">
        <v>2618</v>
      </c>
    </row>
    <row r="8" spans="1:4">
      <c r="A8" s="2380" t="s">
        <v>2222</v>
      </c>
      <c r="B8" s="2380"/>
      <c r="C8" s="2381"/>
    </row>
    <row r="9" spans="1:4" s="1829" customFormat="1" ht="16.5" customHeight="1">
      <c r="A9" s="2382" t="s">
        <v>816</v>
      </c>
      <c r="B9" s="2383" t="e">
        <f t="shared" ref="B9" si="0">+B10+B18</f>
        <v>#REF!</v>
      </c>
      <c r="C9" s="2785">
        <f>+C10+C18</f>
        <v>4390084</v>
      </c>
    </row>
    <row r="10" spans="1:4" s="1829" customFormat="1" ht="15">
      <c r="A10" s="2384" t="s">
        <v>1578</v>
      </c>
      <c r="B10" s="2385" t="e">
        <f>+B11+B12+B15+B13+B14+B17+B189+B16</f>
        <v>#REF!</v>
      </c>
      <c r="C10" s="2786">
        <f>+C11+C12+C15+C13+C14+C17+C189+C16</f>
        <v>4390084</v>
      </c>
    </row>
    <row r="11" spans="1:4" s="1829" customFormat="1" ht="15">
      <c r="A11" s="2384" t="s">
        <v>1511</v>
      </c>
      <c r="B11" s="2385">
        <f t="shared" ref="B11" si="1">+B25</f>
        <v>0</v>
      </c>
      <c r="C11" s="2786">
        <f>+C25</f>
        <v>0</v>
      </c>
    </row>
    <row r="12" spans="1:4" s="1829" customFormat="1" ht="16.5" customHeight="1">
      <c r="A12" s="2384" t="s">
        <v>1032</v>
      </c>
      <c r="B12" s="2385">
        <f t="shared" ref="B12" si="2">+B46</f>
        <v>0</v>
      </c>
      <c r="C12" s="2786">
        <f>+C46</f>
        <v>4305611</v>
      </c>
    </row>
    <row r="13" spans="1:4" s="1829" customFormat="1" ht="15">
      <c r="A13" s="2384" t="s">
        <v>2223</v>
      </c>
      <c r="B13" s="2385">
        <f t="shared" ref="B13" si="3">+B74</f>
        <v>0</v>
      </c>
      <c r="C13" s="2786">
        <f>+C74</f>
        <v>0</v>
      </c>
    </row>
    <row r="14" spans="1:4" s="1829" customFormat="1" ht="15">
      <c r="A14" s="2384" t="s">
        <v>2224</v>
      </c>
      <c r="B14" s="2385" t="e">
        <f t="shared" ref="B14" si="4">B190</f>
        <v>#REF!</v>
      </c>
      <c r="C14" s="2786">
        <f>C190</f>
        <v>0</v>
      </c>
    </row>
    <row r="15" spans="1:4" s="1829" customFormat="1" ht="16.5" customHeight="1">
      <c r="A15" s="2384" t="s">
        <v>1585</v>
      </c>
      <c r="B15" s="2385">
        <f t="shared" ref="B15" si="5">B207</f>
        <v>0</v>
      </c>
      <c r="C15" s="2786">
        <f>C207</f>
        <v>84473</v>
      </c>
    </row>
    <row r="16" spans="1:4" s="1846" customFormat="1" ht="25.5">
      <c r="A16" s="2386" t="s">
        <v>1996</v>
      </c>
      <c r="B16" s="2387" t="e">
        <f>#REF!</f>
        <v>#REF!</v>
      </c>
      <c r="C16" s="2786">
        <f>C214</f>
        <v>0</v>
      </c>
      <c r="D16" s="1829"/>
    </row>
    <row r="17" spans="1:4" s="1829" customFormat="1" ht="16.5" customHeight="1">
      <c r="A17" s="2384" t="s">
        <v>2225</v>
      </c>
      <c r="B17" s="2385">
        <f t="shared" ref="B17" si="6">B77</f>
        <v>0</v>
      </c>
      <c r="C17" s="2786">
        <f>C77</f>
        <v>0</v>
      </c>
    </row>
    <row r="18" spans="1:4" s="1829" customFormat="1" ht="16.5" customHeight="1">
      <c r="A18" s="2384" t="s">
        <v>872</v>
      </c>
      <c r="B18" s="2385">
        <f t="shared" ref="B18:C19" si="7">B80</f>
        <v>0</v>
      </c>
      <c r="C18" s="2786">
        <f t="shared" si="7"/>
        <v>0</v>
      </c>
    </row>
    <row r="19" spans="1:4" s="1829" customFormat="1" ht="15">
      <c r="A19" s="2384" t="s">
        <v>2226</v>
      </c>
      <c r="B19" s="2385">
        <f t="shared" si="7"/>
        <v>0</v>
      </c>
      <c r="C19" s="2786">
        <f t="shared" si="7"/>
        <v>0</v>
      </c>
    </row>
    <row r="20" spans="1:4" s="1829" customFormat="1" ht="15">
      <c r="A20" s="2384" t="s">
        <v>1656</v>
      </c>
      <c r="B20" s="2385">
        <f>B189+B213</f>
        <v>0</v>
      </c>
      <c r="C20" s="2786">
        <f>C189+C213</f>
        <v>0</v>
      </c>
    </row>
    <row r="21" spans="1:4" s="1829" customFormat="1" ht="16.5" customHeight="1">
      <c r="A21" s="1848" t="s">
        <v>2227</v>
      </c>
      <c r="B21" s="1849" t="e">
        <f t="shared" ref="B21" si="8">+B22+B18</f>
        <v>#REF!</v>
      </c>
      <c r="C21" s="2786">
        <f>+C22+C18</f>
        <v>4390084</v>
      </c>
    </row>
    <row r="22" spans="1:4" s="1829" customFormat="1" ht="15">
      <c r="A22" s="1850" t="s">
        <v>1578</v>
      </c>
      <c r="B22" s="1851" t="e">
        <f>B11+B12+B13+B14+B15+B17+B189+B16</f>
        <v>#REF!</v>
      </c>
      <c r="C22" s="2786">
        <f>C11+C12+C13+C14+C15+C17+C189+C16</f>
        <v>4390084</v>
      </c>
    </row>
    <row r="23" spans="1:4" s="1829" customFormat="1" ht="16.5" customHeight="1">
      <c r="A23" s="2388" t="s">
        <v>820</v>
      </c>
      <c r="B23" s="2385" t="e">
        <f>+B24+B80+B189</f>
        <v>#REF!</v>
      </c>
      <c r="C23" s="2786">
        <f>+C24+C80+C189</f>
        <v>4305611</v>
      </c>
    </row>
    <row r="24" spans="1:4" s="1829" customFormat="1" ht="16.5" customHeight="1">
      <c r="A24" s="2388" t="s">
        <v>1578</v>
      </c>
      <c r="B24" s="2385" t="e">
        <f>+B25+B46+B74+B190+B77+#REF!</f>
        <v>#REF!</v>
      </c>
      <c r="C24" s="2786">
        <f>+C25+C46+C74+C190+C77+C214</f>
        <v>4305611</v>
      </c>
    </row>
    <row r="25" spans="1:4" s="1829" customFormat="1" ht="15">
      <c r="A25" s="2388" t="s">
        <v>1511</v>
      </c>
      <c r="B25" s="2385">
        <f t="shared" ref="B25" si="9">+B26+B38+B36</f>
        <v>0</v>
      </c>
      <c r="C25" s="2786">
        <f>+C26+C38+C36</f>
        <v>0</v>
      </c>
    </row>
    <row r="26" spans="1:4" s="1829" customFormat="1" ht="16.5" customHeight="1">
      <c r="A26" s="2388" t="s">
        <v>1513</v>
      </c>
      <c r="B26" s="2385">
        <f t="shared" ref="B26" si="10">B27+B30+B31+B32+B34+B28+B29+B33</f>
        <v>0</v>
      </c>
      <c r="C26" s="2786">
        <f>C27+C30+C31+C32+C34+C28+C29+C33</f>
        <v>0</v>
      </c>
    </row>
    <row r="27" spans="1:4" s="1829" customFormat="1" ht="16.5" customHeight="1">
      <c r="A27" s="2389" t="s">
        <v>863</v>
      </c>
      <c r="B27" s="2390"/>
      <c r="C27" s="2787"/>
    </row>
    <row r="28" spans="1:4" s="1829" customFormat="1" ht="15">
      <c r="A28" s="2389" t="s">
        <v>2228</v>
      </c>
      <c r="B28" s="2390"/>
      <c r="C28" s="2787"/>
    </row>
    <row r="29" spans="1:4" s="1829" customFormat="1" ht="15">
      <c r="A29" s="2389" t="s">
        <v>2052</v>
      </c>
      <c r="B29" s="2390"/>
      <c r="C29" s="2787"/>
    </row>
    <row r="30" spans="1:4" s="1829" customFormat="1" ht="16.5" customHeight="1">
      <c r="A30" s="2389" t="s">
        <v>903</v>
      </c>
      <c r="B30" s="2390"/>
      <c r="C30" s="2787"/>
    </row>
    <row r="31" spans="1:4" s="1829" customFormat="1" ht="16.5" customHeight="1">
      <c r="A31" s="2389" t="s">
        <v>2229</v>
      </c>
      <c r="B31" s="2390"/>
      <c r="C31" s="2787"/>
    </row>
    <row r="32" spans="1:4" ht="16.5" customHeight="1">
      <c r="A32" s="2389" t="s">
        <v>2230</v>
      </c>
      <c r="B32" s="2390"/>
      <c r="C32" s="2787"/>
      <c r="D32" s="1829"/>
    </row>
    <row r="33" spans="1:4" ht="16.5" customHeight="1">
      <c r="A33" s="2389" t="s">
        <v>2231</v>
      </c>
      <c r="B33" s="2390"/>
      <c r="C33" s="2787"/>
      <c r="D33" s="1829"/>
    </row>
    <row r="34" spans="1:4" ht="16.5" customHeight="1">
      <c r="A34" s="2389" t="s">
        <v>907</v>
      </c>
      <c r="B34" s="2390"/>
      <c r="C34" s="2787"/>
      <c r="D34" s="1829"/>
    </row>
    <row r="35" spans="1:4" ht="16.5" customHeight="1">
      <c r="A35" s="2389" t="s">
        <v>2232</v>
      </c>
      <c r="B35" s="2390"/>
      <c r="C35" s="2787"/>
      <c r="D35" s="1829"/>
    </row>
    <row r="36" spans="1:4" ht="16.5" customHeight="1">
      <c r="A36" s="2388" t="s">
        <v>2233</v>
      </c>
      <c r="B36" s="2390">
        <f t="shared" ref="B36" si="11">B37</f>
        <v>0</v>
      </c>
      <c r="C36" s="2787">
        <f>C37</f>
        <v>0</v>
      </c>
      <c r="D36" s="1829"/>
    </row>
    <row r="37" spans="1:4" ht="16.5" customHeight="1">
      <c r="A37" s="2389" t="s">
        <v>2234</v>
      </c>
      <c r="B37" s="2390"/>
      <c r="C37" s="2787"/>
      <c r="D37" s="1829"/>
    </row>
    <row r="38" spans="1:4" ht="16.5" customHeight="1">
      <c r="A38" s="2388" t="s">
        <v>1520</v>
      </c>
      <c r="B38" s="2385">
        <f t="shared" ref="B38" si="12">+B39+B40+B41+B42+B43+B44+B45</f>
        <v>0</v>
      </c>
      <c r="C38" s="2787">
        <f>+C39+C40+C41+C42+C43+C44+C45</f>
        <v>0</v>
      </c>
      <c r="D38" s="1829"/>
    </row>
    <row r="39" spans="1:4" ht="16.5" customHeight="1">
      <c r="A39" s="2389" t="s">
        <v>911</v>
      </c>
      <c r="B39" s="2390"/>
      <c r="C39" s="2787"/>
      <c r="D39" s="1829"/>
    </row>
    <row r="40" spans="1:4" ht="16.5" customHeight="1">
      <c r="A40" s="2389" t="s">
        <v>1523</v>
      </c>
      <c r="B40" s="2390"/>
      <c r="C40" s="2786"/>
      <c r="D40" s="1829"/>
    </row>
    <row r="41" spans="1:4" s="1829" customFormat="1" ht="16.5" customHeight="1">
      <c r="A41" s="2389" t="s">
        <v>1525</v>
      </c>
      <c r="B41" s="2390"/>
      <c r="C41" s="2787"/>
    </row>
    <row r="42" spans="1:4" ht="16.5" customHeight="1">
      <c r="A42" s="2391" t="s">
        <v>1527</v>
      </c>
      <c r="B42" s="2390"/>
      <c r="C42" s="2787"/>
      <c r="D42" s="1829"/>
    </row>
    <row r="43" spans="1:4" ht="16.5" customHeight="1">
      <c r="A43" s="2391" t="s">
        <v>919</v>
      </c>
      <c r="B43" s="2390"/>
      <c r="C43" s="2787"/>
      <c r="D43" s="1829"/>
    </row>
    <row r="44" spans="1:4" ht="16.5" customHeight="1">
      <c r="A44" s="2391" t="s">
        <v>2235</v>
      </c>
      <c r="B44" s="2390"/>
      <c r="C44" s="2787"/>
      <c r="D44" s="1829"/>
    </row>
    <row r="45" spans="1:4" ht="16.5" customHeight="1">
      <c r="A45" s="2391" t="s">
        <v>2236</v>
      </c>
      <c r="B45" s="2390"/>
      <c r="C45" s="2787"/>
      <c r="D45" s="1829"/>
    </row>
    <row r="46" spans="1:4" ht="16.5" customHeight="1">
      <c r="A46" s="2388" t="s">
        <v>1032</v>
      </c>
      <c r="B46" s="2385">
        <f t="shared" ref="B46" si="13">+B47+B61+B60+B63+B66+B68+B69+B71+B67+B70</f>
        <v>0</v>
      </c>
      <c r="C46" s="2787">
        <f>+C47+C61+C60+C63+C66+C68+C69+C71+C67+C70</f>
        <v>4305611</v>
      </c>
      <c r="D46" s="1829"/>
    </row>
    <row r="47" spans="1:4" ht="16.5" customHeight="1">
      <c r="A47" s="2388" t="s">
        <v>1034</v>
      </c>
      <c r="B47" s="2385">
        <f t="shared" ref="B47" si="14">+B48+B49+B50+B51+B52+B53+B54+B55+B57</f>
        <v>0</v>
      </c>
      <c r="C47" s="2787">
        <f>+C48+C49+C50+C51+C52+C53+C54+C55+C57</f>
        <v>4305611</v>
      </c>
      <c r="D47" s="1829"/>
    </row>
    <row r="48" spans="1:4" s="1829" customFormat="1" ht="16.5" customHeight="1">
      <c r="A48" s="2389" t="s">
        <v>923</v>
      </c>
      <c r="B48" s="2390"/>
      <c r="C48" s="2787"/>
    </row>
    <row r="49" spans="1:4" s="1829" customFormat="1" ht="16.5" customHeight="1">
      <c r="A49" s="2389" t="s">
        <v>925</v>
      </c>
      <c r="B49" s="2390"/>
      <c r="C49" s="2787"/>
    </row>
    <row r="50" spans="1:4" ht="16.5" customHeight="1">
      <c r="A50" s="2389" t="s">
        <v>1038</v>
      </c>
      <c r="B50" s="2390"/>
      <c r="C50" s="2787"/>
      <c r="D50" s="1829"/>
    </row>
    <row r="51" spans="1:4" ht="16.5" customHeight="1">
      <c r="A51" s="2389" t="s">
        <v>929</v>
      </c>
      <c r="B51" s="2390"/>
      <c r="C51" s="2787"/>
      <c r="D51" s="1829"/>
    </row>
    <row r="52" spans="1:4" ht="16.5" customHeight="1">
      <c r="A52" s="2389" t="s">
        <v>931</v>
      </c>
      <c r="B52" s="2390"/>
      <c r="C52" s="2787"/>
      <c r="D52" s="1829"/>
    </row>
    <row r="53" spans="1:4" ht="16.5" customHeight="1">
      <c r="A53" s="2389" t="s">
        <v>933</v>
      </c>
      <c r="B53" s="2390"/>
      <c r="C53" s="2786"/>
      <c r="D53" s="1829"/>
    </row>
    <row r="54" spans="1:4" ht="16.5" customHeight="1">
      <c r="A54" s="2389" t="s">
        <v>1043</v>
      </c>
      <c r="B54" s="2390"/>
      <c r="C54" s="2786"/>
      <c r="D54" s="1829"/>
    </row>
    <row r="55" spans="1:4" ht="16.5" customHeight="1">
      <c r="A55" s="2388" t="s">
        <v>2237</v>
      </c>
      <c r="B55" s="2392">
        <f t="shared" ref="B55" si="15">+B56+B91</f>
        <v>0</v>
      </c>
      <c r="C55" s="2787">
        <f>+C56+C91</f>
        <v>4305611</v>
      </c>
      <c r="D55" s="1829"/>
    </row>
    <row r="56" spans="1:4" ht="16.5" customHeight="1">
      <c r="A56" s="2393" t="s">
        <v>1048</v>
      </c>
      <c r="B56" s="2394"/>
      <c r="C56" s="2787"/>
      <c r="D56" s="1829"/>
    </row>
    <row r="57" spans="1:4" s="1829" customFormat="1" ht="16.5" customHeight="1">
      <c r="A57" s="2389" t="s">
        <v>1793</v>
      </c>
      <c r="B57" s="2390"/>
      <c r="C57" s="2787"/>
    </row>
    <row r="58" spans="1:4" s="1830" customFormat="1" ht="16.5" customHeight="1">
      <c r="A58" s="2389" t="s">
        <v>2238</v>
      </c>
      <c r="B58" s="2390"/>
      <c r="C58" s="2787"/>
      <c r="D58" s="1829"/>
    </row>
    <row r="59" spans="1:4" ht="16.5" customHeight="1">
      <c r="A59" s="2389" t="s">
        <v>2239</v>
      </c>
      <c r="B59" s="2390"/>
      <c r="C59" s="2787"/>
      <c r="D59" s="1829"/>
    </row>
    <row r="60" spans="1:4" s="1829" customFormat="1" ht="16.5" customHeight="1">
      <c r="A60" s="2389" t="s">
        <v>1051</v>
      </c>
      <c r="B60" s="2390"/>
      <c r="C60" s="2787"/>
    </row>
    <row r="61" spans="1:4" s="1829" customFormat="1" ht="16.5" customHeight="1">
      <c r="A61" s="2388" t="s">
        <v>1053</v>
      </c>
      <c r="B61" s="2395">
        <f t="shared" ref="B61" si="16">+B62</f>
        <v>0</v>
      </c>
      <c r="C61" s="2787">
        <f>+C62</f>
        <v>0</v>
      </c>
    </row>
    <row r="62" spans="1:4" s="1829" customFormat="1" ht="16.5" customHeight="1">
      <c r="A62" s="2389" t="s">
        <v>943</v>
      </c>
      <c r="B62" s="2390"/>
      <c r="C62" s="2788"/>
    </row>
    <row r="63" spans="1:4" s="1829" customFormat="1" ht="16.5" customHeight="1">
      <c r="A63" s="2388" t="s">
        <v>1056</v>
      </c>
      <c r="B63" s="2385">
        <f t="shared" ref="B63" si="17">+B64+B65</f>
        <v>0</v>
      </c>
      <c r="C63" s="2787">
        <f>+C64+C65</f>
        <v>0</v>
      </c>
    </row>
    <row r="64" spans="1:4" ht="16.5" customHeight="1">
      <c r="A64" s="2389" t="s">
        <v>1058</v>
      </c>
      <c r="B64" s="2390"/>
      <c r="C64" s="2787"/>
      <c r="D64" s="1829"/>
    </row>
    <row r="65" spans="1:4" s="1829" customFormat="1" ht="16.5" customHeight="1">
      <c r="A65" s="2389" t="s">
        <v>1060</v>
      </c>
      <c r="B65" s="2390"/>
      <c r="C65" s="2787"/>
    </row>
    <row r="66" spans="1:4" ht="16.5" customHeight="1">
      <c r="A66" s="2389" t="s">
        <v>951</v>
      </c>
      <c r="B66" s="2390"/>
      <c r="C66" s="2787"/>
      <c r="D66" s="1829"/>
    </row>
    <row r="67" spans="1:4" ht="16.5" customHeight="1">
      <c r="A67" s="2389" t="s">
        <v>953</v>
      </c>
      <c r="B67" s="2390"/>
      <c r="C67" s="2789"/>
      <c r="D67" s="1829"/>
    </row>
    <row r="68" spans="1:4" ht="16.5" customHeight="1">
      <c r="A68" s="2389" t="s">
        <v>955</v>
      </c>
      <c r="B68" s="2390"/>
      <c r="C68" s="2787"/>
      <c r="D68" s="1829"/>
    </row>
    <row r="69" spans="1:4" ht="16.5" customHeight="1">
      <c r="A69" s="2389" t="s">
        <v>957</v>
      </c>
      <c r="B69" s="2390"/>
      <c r="C69" s="2786"/>
      <c r="D69" s="1829"/>
    </row>
    <row r="70" spans="1:4" ht="27">
      <c r="A70" s="2389" t="s">
        <v>2093</v>
      </c>
      <c r="B70" s="2390"/>
      <c r="C70" s="2786"/>
      <c r="D70" s="1829"/>
    </row>
    <row r="71" spans="1:4" ht="16.5" customHeight="1">
      <c r="A71" s="2388" t="s">
        <v>1066</v>
      </c>
      <c r="B71" s="2395">
        <f t="shared" ref="B71" si="18">+B72+B73</f>
        <v>0</v>
      </c>
      <c r="C71" s="2787">
        <f>+C72+C73</f>
        <v>0</v>
      </c>
      <c r="D71" s="1829"/>
    </row>
    <row r="72" spans="1:4" ht="16.5" customHeight="1">
      <c r="A72" s="2389" t="s">
        <v>870</v>
      </c>
      <c r="B72" s="2390"/>
      <c r="C72" s="2787"/>
      <c r="D72" s="1829"/>
    </row>
    <row r="73" spans="1:4" s="1829" customFormat="1" ht="16.5" customHeight="1">
      <c r="A73" s="2389" t="s">
        <v>960</v>
      </c>
      <c r="B73" s="2390"/>
      <c r="C73" s="2787"/>
    </row>
    <row r="74" spans="1:4" ht="16.5" customHeight="1">
      <c r="A74" s="2388" t="s">
        <v>2223</v>
      </c>
      <c r="B74" s="2383">
        <f>+B75</f>
        <v>0</v>
      </c>
      <c r="C74" s="2787">
        <f t="shared" ref="C74:C75" si="19">+C75</f>
        <v>0</v>
      </c>
      <c r="D74" s="1829"/>
    </row>
    <row r="75" spans="1:4" ht="16.5" customHeight="1">
      <c r="A75" s="2388" t="s">
        <v>1533</v>
      </c>
      <c r="B75" s="2383">
        <f>+B76</f>
        <v>0</v>
      </c>
      <c r="C75" s="2787">
        <f t="shared" si="19"/>
        <v>0</v>
      </c>
      <c r="D75" s="1829"/>
    </row>
    <row r="76" spans="1:4" s="1829" customFormat="1" ht="16.5" customHeight="1">
      <c r="A76" s="2389" t="s">
        <v>965</v>
      </c>
      <c r="B76" s="2390"/>
      <c r="C76" s="2787"/>
    </row>
    <row r="77" spans="1:4" s="1829" customFormat="1" ht="16.5" customHeight="1">
      <c r="A77" s="2396" t="s">
        <v>2225</v>
      </c>
      <c r="B77" s="2390">
        <f t="shared" ref="B77" si="20">B78+B79</f>
        <v>0</v>
      </c>
      <c r="C77" s="2787">
        <f>C78+C79</f>
        <v>0</v>
      </c>
    </row>
    <row r="78" spans="1:4" s="1829" customFormat="1" ht="16.5" customHeight="1">
      <c r="A78" s="2397" t="s">
        <v>2240</v>
      </c>
      <c r="B78" s="2390"/>
      <c r="C78" s="2787"/>
    </row>
    <row r="79" spans="1:4" ht="16.5" customHeight="1">
      <c r="A79" s="2397" t="s">
        <v>2241</v>
      </c>
      <c r="B79" s="2390"/>
      <c r="C79" s="2787"/>
      <c r="D79" s="1829"/>
    </row>
    <row r="80" spans="1:4" s="1829" customFormat="1" ht="16.5" customHeight="1">
      <c r="A80" s="2388" t="s">
        <v>872</v>
      </c>
      <c r="B80" s="2385">
        <f t="shared" ref="B80" si="21">+B81</f>
        <v>0</v>
      </c>
      <c r="C80" s="2789">
        <f>+C81</f>
        <v>0</v>
      </c>
    </row>
    <row r="81" spans="1:4" s="1829" customFormat="1" ht="16.5" customHeight="1">
      <c r="A81" s="2388" t="s">
        <v>2226</v>
      </c>
      <c r="B81" s="2385">
        <f t="shared" ref="B81" si="22">+B82+B87</f>
        <v>0</v>
      </c>
      <c r="C81" s="2787">
        <f>+C82+C87</f>
        <v>0</v>
      </c>
    </row>
    <row r="82" spans="1:4" s="1829" customFormat="1" ht="16.5" customHeight="1">
      <c r="A82" s="2388" t="s">
        <v>1536</v>
      </c>
      <c r="B82" s="2385">
        <f t="shared" ref="B82" si="23">+B84+B86+B85+B83</f>
        <v>0</v>
      </c>
      <c r="C82" s="2787">
        <f>+C84+C86+C85+C83</f>
        <v>0</v>
      </c>
    </row>
    <row r="83" spans="1:4" s="1829" customFormat="1" ht="16.5" customHeight="1">
      <c r="A83" s="2389" t="s">
        <v>992</v>
      </c>
      <c r="B83" s="2385"/>
      <c r="C83" s="2785"/>
    </row>
    <row r="84" spans="1:4" s="1829" customFormat="1" ht="16.5" customHeight="1">
      <c r="A84" s="2389" t="s">
        <v>2242</v>
      </c>
      <c r="B84" s="2390"/>
      <c r="C84" s="2785"/>
    </row>
    <row r="85" spans="1:4" s="1829" customFormat="1" ht="16.5" customHeight="1">
      <c r="A85" s="2389" t="s">
        <v>994</v>
      </c>
      <c r="B85" s="2390"/>
      <c r="C85" s="2787"/>
    </row>
    <row r="86" spans="1:4" ht="16.5" customHeight="1">
      <c r="A86" s="2389" t="s">
        <v>1537</v>
      </c>
      <c r="B86" s="2390"/>
      <c r="C86" s="2786"/>
      <c r="D86" s="1829"/>
    </row>
    <row r="87" spans="1:4" ht="16.5" customHeight="1">
      <c r="A87" s="2389" t="s">
        <v>998</v>
      </c>
      <c r="B87" s="2390"/>
      <c r="C87" s="2786"/>
      <c r="D87" s="1829"/>
    </row>
    <row r="88" spans="1:4" ht="16.5" customHeight="1">
      <c r="A88" s="2389" t="s">
        <v>822</v>
      </c>
      <c r="B88" s="2390"/>
      <c r="C88" s="2786"/>
      <c r="D88" s="1829"/>
    </row>
    <row r="89" spans="1:4" ht="16.5" customHeight="1">
      <c r="A89" s="2389" t="s">
        <v>2243</v>
      </c>
      <c r="B89" s="2383" t="e">
        <f>+B46-B91+B25+B80+B190+B77</f>
        <v>#REF!</v>
      </c>
      <c r="C89" s="2786">
        <f>+C46-C91+C25+C80+C190+C77+C90</f>
        <v>0</v>
      </c>
      <c r="D89" s="1829"/>
    </row>
    <row r="90" spans="1:4" ht="16.5" customHeight="1">
      <c r="A90" s="2389" t="s">
        <v>2244</v>
      </c>
      <c r="B90" s="2383"/>
      <c r="C90" s="2786"/>
      <c r="D90" s="1829"/>
    </row>
    <row r="91" spans="1:4" ht="16.5" customHeight="1">
      <c r="A91" s="2388" t="s">
        <v>1046</v>
      </c>
      <c r="B91" s="2398">
        <f>+B92+B138+B169+B171+B185+B187</f>
        <v>0</v>
      </c>
      <c r="C91" s="2787">
        <f>+C92+C138+C169+C171+C185+C187</f>
        <v>4305611</v>
      </c>
      <c r="D91" s="1829"/>
    </row>
    <row r="92" spans="1:4" s="1830" customFormat="1" ht="16.5" customHeight="1">
      <c r="A92" s="2388" t="s">
        <v>826</v>
      </c>
      <c r="B92" s="2385">
        <f t="shared" ref="B92" si="24">+B93+B103+B118+B134+B136</f>
        <v>0</v>
      </c>
      <c r="C92" s="2787">
        <f>+C93+C103+C118+C134+C136</f>
        <v>0</v>
      </c>
      <c r="D92" s="1829"/>
    </row>
    <row r="93" spans="1:4" s="1830" customFormat="1" ht="16.5" customHeight="1">
      <c r="A93" s="2388" t="s">
        <v>828</v>
      </c>
      <c r="B93" s="2383">
        <f t="shared" ref="B93" si="25">+B94+B100+B101+B95+B96</f>
        <v>0</v>
      </c>
      <c r="C93" s="2787">
        <f>+C94+C100+C101+C95+C96</f>
        <v>0</v>
      </c>
      <c r="D93" s="1829"/>
    </row>
    <row r="94" spans="1:4" s="1830" customFormat="1" ht="16.5" customHeight="1">
      <c r="A94" s="2389" t="s">
        <v>1539</v>
      </c>
      <c r="B94" s="2390"/>
      <c r="C94" s="2787"/>
      <c r="D94" s="1829"/>
    </row>
    <row r="95" spans="1:4" s="1830" customFormat="1" ht="16.5" customHeight="1">
      <c r="A95" s="2389" t="s">
        <v>2245</v>
      </c>
      <c r="B95" s="2390"/>
      <c r="C95" s="2787"/>
      <c r="D95" s="1829"/>
    </row>
    <row r="96" spans="1:4" s="1830" customFormat="1" ht="16.5" customHeight="1">
      <c r="A96" s="2388" t="s">
        <v>2246</v>
      </c>
      <c r="B96" s="2390">
        <f>B97+B98+B99</f>
        <v>0</v>
      </c>
      <c r="C96" s="2787">
        <f>C97+C98+C99</f>
        <v>0</v>
      </c>
      <c r="D96" s="1829"/>
    </row>
    <row r="97" spans="1:4" s="1830" customFormat="1" ht="27">
      <c r="A97" s="2389" t="s">
        <v>2247</v>
      </c>
      <c r="B97" s="2390"/>
      <c r="C97" s="2787"/>
      <c r="D97" s="1829"/>
    </row>
    <row r="98" spans="1:4" s="1830" customFormat="1" ht="39.75">
      <c r="A98" s="2389" t="s">
        <v>2248</v>
      </c>
      <c r="B98" s="2390"/>
      <c r="C98" s="2787"/>
      <c r="D98" s="1829"/>
    </row>
    <row r="99" spans="1:4" s="1830" customFormat="1" ht="39.75">
      <c r="A99" s="2389" t="s">
        <v>2249</v>
      </c>
      <c r="B99" s="2390"/>
      <c r="C99" s="2787"/>
      <c r="D99" s="1829"/>
    </row>
    <row r="100" spans="1:4" s="1830" customFormat="1" ht="16.5" customHeight="1">
      <c r="A100" s="2389" t="s">
        <v>1540</v>
      </c>
      <c r="B100" s="2390"/>
      <c r="C100" s="2787"/>
      <c r="D100" s="1829"/>
    </row>
    <row r="101" spans="1:4" s="1830" customFormat="1" ht="30.75" customHeight="1">
      <c r="A101" s="2389" t="s">
        <v>2250</v>
      </c>
      <c r="B101" s="2390"/>
      <c r="C101" s="2785"/>
      <c r="D101" s="1829"/>
    </row>
    <row r="102" spans="1:4" ht="15">
      <c r="A102" s="2389" t="s">
        <v>2244</v>
      </c>
      <c r="B102" s="2390"/>
      <c r="C102" s="2785"/>
      <c r="D102" s="1829"/>
    </row>
    <row r="103" spans="1:4" ht="27">
      <c r="A103" s="2388" t="s">
        <v>2251</v>
      </c>
      <c r="B103" s="2390">
        <f t="shared" ref="B103" si="26">B104+B105+B106+B107+B108+B109+B111+B110+B112</f>
        <v>0</v>
      </c>
      <c r="C103" s="2785">
        <f>C104+C105+C106+C107+C108+C109+C111+C110+C112</f>
        <v>0</v>
      </c>
      <c r="D103" s="1829"/>
    </row>
    <row r="104" spans="1:4" ht="16.5" customHeight="1">
      <c r="A104" s="2389" t="s">
        <v>1541</v>
      </c>
      <c r="B104" s="2390"/>
      <c r="C104" s="2790"/>
      <c r="D104" s="1829"/>
    </row>
    <row r="105" spans="1:4" ht="15">
      <c r="A105" s="2389" t="s">
        <v>1542</v>
      </c>
      <c r="B105" s="2390"/>
      <c r="C105" s="2786"/>
      <c r="D105" s="1829"/>
    </row>
    <row r="106" spans="1:4" s="1829" customFormat="1" ht="16.5" customHeight="1">
      <c r="A106" s="2389" t="s">
        <v>1543</v>
      </c>
      <c r="B106" s="2390"/>
      <c r="C106" s="2785"/>
    </row>
    <row r="107" spans="1:4" ht="16.5" customHeight="1">
      <c r="A107" s="2389" t="s">
        <v>1544</v>
      </c>
      <c r="B107" s="2390"/>
      <c r="C107" s="2787"/>
      <c r="D107" s="1829"/>
    </row>
    <row r="108" spans="1:4" ht="15">
      <c r="A108" s="2399" t="s">
        <v>1545</v>
      </c>
      <c r="B108" s="2390"/>
      <c r="C108" s="2787"/>
      <c r="D108" s="1829"/>
    </row>
    <row r="109" spans="1:4" ht="15">
      <c r="A109" s="2389" t="s">
        <v>1546</v>
      </c>
      <c r="B109" s="2390"/>
      <c r="C109" s="2787"/>
      <c r="D109" s="1829"/>
    </row>
    <row r="110" spans="1:4" ht="16.5" customHeight="1">
      <c r="A110" s="2400" t="s">
        <v>1548</v>
      </c>
      <c r="B110" s="2390"/>
      <c r="C110" s="2787"/>
      <c r="D110" s="1829"/>
    </row>
    <row r="111" spans="1:4" ht="15">
      <c r="A111" s="2400" t="s">
        <v>1547</v>
      </c>
      <c r="B111" s="2390"/>
      <c r="C111" s="2787"/>
      <c r="D111" s="1829"/>
    </row>
    <row r="112" spans="1:4" ht="30" customHeight="1">
      <c r="A112" s="2401" t="s">
        <v>1549</v>
      </c>
      <c r="B112" s="2390">
        <f>B113+B114+B116</f>
        <v>0</v>
      </c>
      <c r="C112" s="2787">
        <f>C113+C114+C116+C115</f>
        <v>0</v>
      </c>
      <c r="D112" s="1829"/>
    </row>
    <row r="113" spans="1:4" ht="16.5" customHeight="1">
      <c r="A113" s="2400" t="s">
        <v>2252</v>
      </c>
      <c r="B113" s="2390"/>
      <c r="C113" s="2787"/>
      <c r="D113" s="1829"/>
    </row>
    <row r="114" spans="1:4" ht="15">
      <c r="A114" s="2400" t="s">
        <v>2302</v>
      </c>
      <c r="B114" s="2390"/>
      <c r="C114" s="2787"/>
      <c r="D114" s="1829"/>
    </row>
    <row r="115" spans="1:4" ht="15" customHeight="1">
      <c r="A115" s="2400" t="s">
        <v>2303</v>
      </c>
      <c r="B115" s="2390"/>
      <c r="C115" s="2787"/>
      <c r="D115" s="1829"/>
    </row>
    <row r="116" spans="1:4" ht="21" customHeight="1">
      <c r="A116" s="2400" t="s">
        <v>1256</v>
      </c>
      <c r="B116" s="2390"/>
      <c r="C116" s="2787"/>
      <c r="D116" s="1829"/>
    </row>
    <row r="117" spans="1:4" ht="15">
      <c r="A117" s="2389" t="s">
        <v>2244</v>
      </c>
      <c r="B117" s="2390"/>
      <c r="C117" s="2787"/>
      <c r="D117" s="1829"/>
    </row>
    <row r="118" spans="1:4" ht="28.5" customHeight="1">
      <c r="A118" s="2388" t="s">
        <v>2253</v>
      </c>
      <c r="B118" s="2390">
        <f t="shared" ref="B118" si="27">B119+B120+B121+B122+B123+B124+B125+B126+B127+B128</f>
        <v>0</v>
      </c>
      <c r="C118" s="2787">
        <f>C119+C120+C121+C122+C123+C124+C125+C126+C127+C128</f>
        <v>0</v>
      </c>
      <c r="D118" s="1829"/>
    </row>
    <row r="119" spans="1:4" ht="18.75" customHeight="1">
      <c r="A119" s="2389" t="s">
        <v>1544</v>
      </c>
      <c r="B119" s="2390"/>
      <c r="C119" s="2787"/>
      <c r="D119" s="1829"/>
    </row>
    <row r="120" spans="1:4" ht="15" customHeight="1">
      <c r="A120" s="2402" t="s">
        <v>2254</v>
      </c>
      <c r="B120" s="2390"/>
      <c r="C120" s="2787"/>
      <c r="D120" s="1829"/>
    </row>
    <row r="121" spans="1:4" ht="16.5" customHeight="1">
      <c r="A121" s="2403" t="s">
        <v>1551</v>
      </c>
      <c r="B121" s="2390"/>
      <c r="C121" s="2787"/>
      <c r="D121" s="1829"/>
    </row>
    <row r="122" spans="1:4" ht="13.5" customHeight="1">
      <c r="A122" s="2403" t="s">
        <v>2255</v>
      </c>
      <c r="B122" s="2390"/>
      <c r="C122" s="2787"/>
      <c r="D122" s="1829"/>
    </row>
    <row r="123" spans="1:4" ht="16.5" customHeight="1">
      <c r="A123" s="2403" t="s">
        <v>2256</v>
      </c>
      <c r="B123" s="2390"/>
      <c r="C123" s="2787"/>
      <c r="D123" s="1829"/>
    </row>
    <row r="124" spans="1:4" ht="16.5" customHeight="1">
      <c r="A124" s="2389" t="s">
        <v>1541</v>
      </c>
      <c r="B124" s="2390"/>
      <c r="C124" s="2787"/>
      <c r="D124" s="1829"/>
    </row>
    <row r="125" spans="1:4" ht="16.5" customHeight="1">
      <c r="A125" s="2403" t="s">
        <v>2257</v>
      </c>
      <c r="B125" s="2390"/>
      <c r="C125" s="2787"/>
      <c r="D125" s="1829"/>
    </row>
    <row r="126" spans="1:4" ht="18.75" customHeight="1">
      <c r="A126" s="2404" t="s">
        <v>1556</v>
      </c>
      <c r="B126" s="2390"/>
      <c r="C126" s="2787"/>
      <c r="D126" s="1829"/>
    </row>
    <row r="127" spans="1:4" s="1829" customFormat="1" ht="15">
      <c r="A127" s="2404" t="s">
        <v>2258</v>
      </c>
      <c r="B127" s="2390"/>
      <c r="C127" s="2787"/>
    </row>
    <row r="128" spans="1:4" s="1829" customFormat="1" ht="25.5">
      <c r="A128" s="2405" t="s">
        <v>2259</v>
      </c>
      <c r="B128" s="2390">
        <f t="shared" ref="B128" si="28">B129+B130+B131+B132</f>
        <v>0</v>
      </c>
      <c r="C128" s="2787">
        <f>C129+C130+C131+C132</f>
        <v>0</v>
      </c>
    </row>
    <row r="129" spans="1:4" s="1829" customFormat="1" ht="15">
      <c r="A129" s="2406" t="s">
        <v>1264</v>
      </c>
      <c r="B129" s="2390"/>
      <c r="C129" s="2787"/>
    </row>
    <row r="130" spans="1:4" s="1829" customFormat="1" ht="26.25" customHeight="1">
      <c r="A130" s="2406" t="s">
        <v>1559</v>
      </c>
      <c r="B130" s="2390"/>
      <c r="C130" s="2787"/>
    </row>
    <row r="131" spans="1:4" s="1829" customFormat="1" ht="15">
      <c r="A131" s="2406" t="s">
        <v>1266</v>
      </c>
      <c r="B131" s="2390"/>
      <c r="C131" s="2787"/>
    </row>
    <row r="132" spans="1:4" s="1829" customFormat="1" ht="15.75" customHeight="1">
      <c r="A132" s="2406" t="s">
        <v>1267</v>
      </c>
      <c r="B132" s="2390"/>
      <c r="C132" s="2787"/>
    </row>
    <row r="133" spans="1:4" s="1829" customFormat="1" ht="15">
      <c r="A133" s="2389" t="s">
        <v>2244</v>
      </c>
      <c r="B133" s="2390"/>
      <c r="C133" s="2787"/>
    </row>
    <row r="134" spans="1:4" s="1829" customFormat="1" ht="15">
      <c r="A134" s="2389" t="s">
        <v>834</v>
      </c>
      <c r="B134" s="2383"/>
      <c r="C134" s="2787"/>
    </row>
    <row r="135" spans="1:4" s="1829" customFormat="1" ht="16.5" customHeight="1">
      <c r="A135" s="2389" t="s">
        <v>2244</v>
      </c>
      <c r="B135" s="2383"/>
      <c r="C135" s="2787"/>
    </row>
    <row r="136" spans="1:4" s="1829" customFormat="1" ht="16.5" customHeight="1">
      <c r="A136" s="2389" t="s">
        <v>836</v>
      </c>
      <c r="B136" s="2390"/>
      <c r="C136" s="2787"/>
    </row>
    <row r="137" spans="1:4" s="1829" customFormat="1" ht="16.5" customHeight="1">
      <c r="A137" s="2389" t="s">
        <v>2244</v>
      </c>
      <c r="B137" s="2390"/>
      <c r="C137" s="2787"/>
    </row>
    <row r="138" spans="1:4" ht="16.5" customHeight="1">
      <c r="A138" s="2388" t="s">
        <v>838</v>
      </c>
      <c r="B138" s="2385">
        <f>+B139+B148+B153+B157+B164</f>
        <v>0</v>
      </c>
      <c r="C138" s="2785">
        <f>+C139+C148+C153+C157+C164</f>
        <v>211600</v>
      </c>
      <c r="D138" s="1829"/>
    </row>
    <row r="139" spans="1:4" ht="16.5" customHeight="1">
      <c r="A139" s="2388" t="s">
        <v>1597</v>
      </c>
      <c r="B139" s="2383">
        <f>+B140+B143+B144</f>
        <v>0</v>
      </c>
      <c r="C139" s="2785">
        <f>+C140+C143+C144+C145+C146</f>
        <v>211600</v>
      </c>
      <c r="D139" s="1829"/>
    </row>
    <row r="140" spans="1:4" s="1829" customFormat="1" ht="16.5" customHeight="1">
      <c r="A140" s="2407" t="s">
        <v>2286</v>
      </c>
      <c r="B140" s="2390"/>
      <c r="C140" s="2787"/>
    </row>
    <row r="141" spans="1:4" s="1829" customFormat="1" ht="16.5" customHeight="1">
      <c r="A141" s="2408" t="s">
        <v>2261</v>
      </c>
      <c r="B141" s="2390"/>
      <c r="C141" s="2787"/>
    </row>
    <row r="142" spans="1:4" s="1829" customFormat="1" ht="16.5" customHeight="1">
      <c r="A142" s="2408" t="s">
        <v>2262</v>
      </c>
      <c r="B142" s="2390"/>
      <c r="C142" s="2787"/>
    </row>
    <row r="143" spans="1:4" s="1829" customFormat="1" ht="16.5" customHeight="1">
      <c r="A143" s="2407" t="s">
        <v>2263</v>
      </c>
      <c r="B143" s="2390"/>
      <c r="C143" s="2787"/>
    </row>
    <row r="144" spans="1:4" s="1829" customFormat="1" ht="16.5" customHeight="1">
      <c r="A144" s="2407" t="s">
        <v>2264</v>
      </c>
      <c r="B144" s="2390"/>
      <c r="C144" s="3975">
        <v>12600</v>
      </c>
    </row>
    <row r="145" spans="1:4" s="1829" customFormat="1" ht="25.5" customHeight="1">
      <c r="A145" s="2407" t="s">
        <v>2304</v>
      </c>
      <c r="B145" s="2390"/>
      <c r="C145" s="3975"/>
    </row>
    <row r="146" spans="1:4" s="1829" customFormat="1" ht="25.5">
      <c r="A146" s="2407" t="s">
        <v>2418</v>
      </c>
      <c r="B146" s="2390"/>
      <c r="C146" s="2787">
        <v>199000</v>
      </c>
    </row>
    <row r="147" spans="1:4" s="1829" customFormat="1" ht="16.5" customHeight="1">
      <c r="A147" s="2389" t="s">
        <v>2244</v>
      </c>
      <c r="B147" s="2390"/>
      <c r="C147" s="2786"/>
    </row>
    <row r="148" spans="1:4" s="1829" customFormat="1" ht="16.5" customHeight="1">
      <c r="A148" s="2409" t="s">
        <v>2298</v>
      </c>
      <c r="B148" s="2390"/>
      <c r="C148" s="2785">
        <f>C149+C150+C151</f>
        <v>0</v>
      </c>
    </row>
    <row r="149" spans="1:4" s="1829" customFormat="1" ht="16.5" customHeight="1">
      <c r="A149" s="2407" t="s">
        <v>2260</v>
      </c>
      <c r="B149" s="2390"/>
      <c r="C149" s="2785"/>
    </row>
    <row r="150" spans="1:4" s="1829" customFormat="1" ht="15">
      <c r="A150" s="2410" t="s">
        <v>2305</v>
      </c>
      <c r="B150" s="2390"/>
      <c r="C150" s="2785"/>
    </row>
    <row r="151" spans="1:4" s="1829" customFormat="1" ht="16.5" customHeight="1">
      <c r="A151" s="2410" t="s">
        <v>2409</v>
      </c>
      <c r="B151" s="2390"/>
      <c r="C151" s="2785"/>
    </row>
    <row r="152" spans="1:4" s="1829" customFormat="1" ht="16.5" customHeight="1">
      <c r="A152" s="2389" t="s">
        <v>2244</v>
      </c>
      <c r="B152" s="2390"/>
      <c r="C152" s="2787"/>
    </row>
    <row r="153" spans="1:4" s="1829" customFormat="1" ht="15">
      <c r="A153" s="2411" t="s">
        <v>2265</v>
      </c>
      <c r="B153" s="2390">
        <f t="shared" ref="B153" si="29">+B154+B155</f>
        <v>0</v>
      </c>
      <c r="C153" s="2787">
        <f>+C154+C155</f>
        <v>0</v>
      </c>
    </row>
    <row r="154" spans="1:4" s="1829" customFormat="1" ht="24" customHeight="1">
      <c r="A154" s="2407" t="s">
        <v>2260</v>
      </c>
      <c r="B154" s="2390"/>
      <c r="C154" s="2787"/>
    </row>
    <row r="155" spans="1:4" ht="16.5" customHeight="1">
      <c r="A155" s="2407" t="s">
        <v>2266</v>
      </c>
      <c r="B155" s="2390"/>
      <c r="C155" s="2787"/>
      <c r="D155" s="1829"/>
    </row>
    <row r="156" spans="1:4" ht="16.5" customHeight="1">
      <c r="A156" s="2389" t="s">
        <v>2244</v>
      </c>
      <c r="B156" s="2390"/>
      <c r="C156" s="2787"/>
      <c r="D156" s="1829"/>
    </row>
    <row r="157" spans="1:4" ht="15">
      <c r="A157" s="2411" t="s">
        <v>2267</v>
      </c>
      <c r="B157" s="2383">
        <f t="shared" ref="B157" si="30">+B158+B159+B160+B161</f>
        <v>0</v>
      </c>
      <c r="C157" s="2787">
        <f>+C158+C159+C160+C161+C162</f>
        <v>0</v>
      </c>
      <c r="D157" s="1829"/>
    </row>
    <row r="158" spans="1:4" ht="15">
      <c r="A158" s="2389" t="s">
        <v>2268</v>
      </c>
      <c r="B158" s="2390"/>
      <c r="C158" s="2787"/>
      <c r="D158" s="1829"/>
    </row>
    <row r="159" spans="1:4" ht="15">
      <c r="A159" s="2389" t="s">
        <v>2269</v>
      </c>
      <c r="B159" s="2390"/>
      <c r="C159" s="2787"/>
      <c r="D159" s="1829"/>
    </row>
    <row r="160" spans="1:4" s="1829" customFormat="1" ht="29.25" customHeight="1">
      <c r="A160" s="2389" t="s">
        <v>1562</v>
      </c>
      <c r="B160" s="2390"/>
      <c r="C160" s="2787"/>
    </row>
    <row r="161" spans="1:4" s="1829" customFormat="1" ht="27">
      <c r="A161" s="2389" t="s">
        <v>2270</v>
      </c>
      <c r="B161" s="2390"/>
      <c r="C161" s="2787"/>
    </row>
    <row r="162" spans="1:4" ht="15">
      <c r="A162" s="2389" t="s">
        <v>2306</v>
      </c>
      <c r="B162" s="2390"/>
      <c r="C162" s="2787"/>
      <c r="D162" s="1829"/>
    </row>
    <row r="163" spans="1:4" ht="16.5" customHeight="1">
      <c r="A163" s="2389" t="s">
        <v>2244</v>
      </c>
      <c r="B163" s="2390"/>
      <c r="C163" s="2787"/>
      <c r="D163" s="1829"/>
    </row>
    <row r="164" spans="1:4" ht="15">
      <c r="A164" s="2411" t="s">
        <v>2271</v>
      </c>
      <c r="B164" s="2390">
        <f t="shared" ref="B164" si="31">+B165+B166</f>
        <v>0</v>
      </c>
      <c r="C164" s="2787">
        <f>+C165+C166+C167</f>
        <v>0</v>
      </c>
      <c r="D164" s="1829"/>
    </row>
    <row r="165" spans="1:4" ht="24" customHeight="1">
      <c r="A165" s="2407" t="s">
        <v>2260</v>
      </c>
      <c r="B165" s="2390"/>
      <c r="C165" s="2787"/>
      <c r="D165" s="1829"/>
    </row>
    <row r="166" spans="1:4" ht="16.5" customHeight="1">
      <c r="A166" s="2407" t="s">
        <v>2266</v>
      </c>
      <c r="B166" s="2390"/>
      <c r="C166" s="2787"/>
      <c r="D166" s="1829"/>
    </row>
    <row r="167" spans="1:4" ht="16.5" customHeight="1">
      <c r="A167" s="2407" t="s">
        <v>2306</v>
      </c>
      <c r="B167" s="2390"/>
      <c r="C167" s="2787"/>
      <c r="D167" s="1829"/>
    </row>
    <row r="168" spans="1:4" ht="16.5" customHeight="1">
      <c r="A168" s="2389" t="s">
        <v>2244</v>
      </c>
      <c r="B168" s="2390"/>
      <c r="C168" s="2787"/>
      <c r="D168" s="1829"/>
    </row>
    <row r="169" spans="1:4" ht="16.5" customHeight="1">
      <c r="A169" s="2389" t="s">
        <v>850</v>
      </c>
      <c r="B169" s="2390"/>
      <c r="C169" s="2785"/>
      <c r="D169" s="1829"/>
    </row>
    <row r="170" spans="1:4" ht="16.5" customHeight="1">
      <c r="A170" s="2389" t="s">
        <v>2244</v>
      </c>
      <c r="B170" s="2390"/>
      <c r="C170" s="2787"/>
      <c r="D170" s="1829"/>
    </row>
    <row r="171" spans="1:4" ht="16.5" customHeight="1">
      <c r="A171" s="2388" t="s">
        <v>852</v>
      </c>
      <c r="B171" s="2385">
        <f t="shared" ref="B171" si="32">+B172+B181</f>
        <v>0</v>
      </c>
      <c r="C171" s="2787">
        <f>+C172+C181</f>
        <v>4094011</v>
      </c>
      <c r="D171" s="1829"/>
    </row>
    <row r="172" spans="1:4" ht="15">
      <c r="A172" s="2388" t="s">
        <v>854</v>
      </c>
      <c r="B172" s="2390">
        <f t="shared" ref="B172" si="33">B173+B178+B177+B179</f>
        <v>0</v>
      </c>
      <c r="C172" s="2787">
        <f>C173+C178+C177+C179+C176</f>
        <v>4094011</v>
      </c>
      <c r="D172" s="1829"/>
    </row>
    <row r="173" spans="1:4" ht="15">
      <c r="A173" s="2389" t="s">
        <v>2272</v>
      </c>
      <c r="B173" s="2390">
        <f>B174+B175</f>
        <v>0</v>
      </c>
      <c r="C173" s="2787">
        <f>C174+C175</f>
        <v>4094011</v>
      </c>
      <c r="D173" s="1829"/>
    </row>
    <row r="174" spans="1:4" ht="15">
      <c r="A174" s="2412" t="s">
        <v>2273</v>
      </c>
      <c r="B174" s="2390"/>
      <c r="C174" s="3975">
        <v>4094011</v>
      </c>
      <c r="D174" s="1829"/>
    </row>
    <row r="175" spans="1:4" ht="15">
      <c r="A175" s="2412" t="s">
        <v>2274</v>
      </c>
      <c r="B175" s="2390"/>
      <c r="C175" s="2787"/>
      <c r="D175" s="1829"/>
    </row>
    <row r="176" spans="1:4" ht="15">
      <c r="A176" s="2412" t="s">
        <v>2306</v>
      </c>
      <c r="B176" s="2390"/>
      <c r="C176" s="2787"/>
      <c r="D176" s="1829"/>
    </row>
    <row r="177" spans="1:4" ht="14.25" customHeight="1">
      <c r="A177" s="2389" t="s">
        <v>2275</v>
      </c>
      <c r="B177" s="2390"/>
      <c r="C177" s="2787"/>
      <c r="D177" s="1829"/>
    </row>
    <row r="178" spans="1:4" ht="15">
      <c r="A178" s="2389" t="s">
        <v>2276</v>
      </c>
      <c r="B178" s="2390"/>
      <c r="C178" s="2787"/>
      <c r="D178" s="1829"/>
    </row>
    <row r="179" spans="1:4" ht="15">
      <c r="A179" s="2413" t="s">
        <v>2277</v>
      </c>
      <c r="B179" s="2390"/>
      <c r="C179" s="2787"/>
      <c r="D179" s="1829"/>
    </row>
    <row r="180" spans="1:4" ht="16.5" customHeight="1">
      <c r="A180" s="2389" t="s">
        <v>2244</v>
      </c>
      <c r="B180" s="2390"/>
      <c r="C180" s="2786"/>
      <c r="D180" s="1829"/>
    </row>
    <row r="181" spans="1:4" ht="16.5" customHeight="1">
      <c r="A181" s="2388" t="s">
        <v>1599</v>
      </c>
      <c r="B181" s="2390">
        <f t="shared" ref="B181" si="34">B182+B183</f>
        <v>0</v>
      </c>
      <c r="C181" s="2786">
        <f>C182+C183</f>
        <v>0</v>
      </c>
      <c r="D181" s="1829"/>
    </row>
    <row r="182" spans="1:4" ht="16.5" customHeight="1">
      <c r="A182" s="2389" t="s">
        <v>1539</v>
      </c>
      <c r="B182" s="2390"/>
      <c r="C182" s="2786"/>
      <c r="D182" s="1829"/>
    </row>
    <row r="183" spans="1:4" ht="16.5" customHeight="1">
      <c r="A183" s="2389" t="s">
        <v>2278</v>
      </c>
      <c r="B183" s="2390"/>
      <c r="C183" s="2787"/>
      <c r="D183" s="1829"/>
    </row>
    <row r="184" spans="1:4" ht="16.5" customHeight="1">
      <c r="A184" s="2389" t="s">
        <v>2244</v>
      </c>
      <c r="B184" s="2390"/>
      <c r="C184" s="2787"/>
      <c r="D184" s="1829"/>
    </row>
    <row r="185" spans="1:4" ht="24" customHeight="1">
      <c r="A185" s="2389" t="s">
        <v>858</v>
      </c>
      <c r="B185" s="2390"/>
      <c r="C185" s="2787"/>
      <c r="D185" s="1829"/>
    </row>
    <row r="186" spans="1:4" ht="16.5" customHeight="1">
      <c r="A186" s="2389" t="s">
        <v>2244</v>
      </c>
      <c r="B186" s="2390"/>
      <c r="C186" s="2787"/>
      <c r="D186" s="1829"/>
    </row>
    <row r="187" spans="1:4" ht="21" customHeight="1">
      <c r="A187" s="2389" t="s">
        <v>860</v>
      </c>
      <c r="B187" s="2390"/>
      <c r="C187" s="2787"/>
      <c r="D187" s="1829"/>
    </row>
    <row r="188" spans="1:4" ht="15">
      <c r="A188" s="2389" t="s">
        <v>2244</v>
      </c>
      <c r="B188" s="2390"/>
      <c r="C188" s="2787"/>
      <c r="D188" s="1829"/>
    </row>
    <row r="189" spans="1:4" ht="15">
      <c r="A189" s="2388" t="s">
        <v>2279</v>
      </c>
      <c r="B189" s="2390">
        <f>B90+B102+B117+B133+B135+B137+B147+B152+B156+B163+B168+B170+B180+B184+B186+B188</f>
        <v>0</v>
      </c>
      <c r="C189" s="2787">
        <f>C90+C102+C117+C133+C135+C137+C147+C152+C156+C163+C168+C170+C180+C184+C186+C188</f>
        <v>0</v>
      </c>
      <c r="D189" s="1829"/>
    </row>
    <row r="190" spans="1:4" ht="15">
      <c r="A190" s="2388" t="s">
        <v>2224</v>
      </c>
      <c r="B190" s="2390" t="e">
        <f t="shared" ref="B190" si="35">B191</f>
        <v>#REF!</v>
      </c>
      <c r="C190" s="2787">
        <f>C191</f>
        <v>0</v>
      </c>
      <c r="D190" s="1829"/>
    </row>
    <row r="191" spans="1:4" ht="15">
      <c r="A191" s="2388" t="s">
        <v>969</v>
      </c>
      <c r="B191" s="2390" t="e">
        <f>B192+#REF!</f>
        <v>#REF!</v>
      </c>
      <c r="C191" s="2787">
        <f>C192+C202</f>
        <v>0</v>
      </c>
      <c r="D191" s="1829"/>
    </row>
    <row r="192" spans="1:4" ht="27">
      <c r="A192" s="2388" t="s">
        <v>2280</v>
      </c>
      <c r="B192" s="2390" t="e">
        <f>B193+B196+B199+B194+B195+#REF!</f>
        <v>#REF!</v>
      </c>
      <c r="C192" s="2787">
        <f>C193+C194+C195+C196+C200+C201</f>
        <v>0</v>
      </c>
      <c r="D192" s="1829"/>
    </row>
    <row r="193" spans="1:4" ht="33" customHeight="1">
      <c r="A193" s="2389" t="s">
        <v>2207</v>
      </c>
      <c r="B193" s="2390"/>
      <c r="C193" s="2787"/>
      <c r="D193" s="1829"/>
    </row>
    <row r="194" spans="1:4" ht="32.25" customHeight="1">
      <c r="A194" s="2389" t="s">
        <v>2208</v>
      </c>
      <c r="B194" s="2390"/>
      <c r="C194" s="2787"/>
      <c r="D194" s="1829"/>
    </row>
    <row r="195" spans="1:4" ht="27">
      <c r="A195" s="2389" t="s">
        <v>2209</v>
      </c>
      <c r="B195" s="2390"/>
      <c r="C195" s="2787"/>
      <c r="D195" s="1829"/>
    </row>
    <row r="196" spans="1:4" ht="27">
      <c r="A196" s="2389" t="s">
        <v>2210</v>
      </c>
      <c r="B196" s="2390">
        <f>B197+B198</f>
        <v>0</v>
      </c>
      <c r="C196" s="2787">
        <f>C197+C198+C199</f>
        <v>0</v>
      </c>
      <c r="D196" s="1829"/>
    </row>
    <row r="197" spans="1:4" ht="65.25">
      <c r="A197" s="2389" t="s">
        <v>2211</v>
      </c>
      <c r="B197" s="2390"/>
      <c r="C197" s="2787"/>
      <c r="D197" s="1829"/>
    </row>
    <row r="198" spans="1:4" ht="52.5">
      <c r="A198" s="2389" t="s">
        <v>2212</v>
      </c>
      <c r="B198" s="2390"/>
      <c r="C198" s="2787"/>
      <c r="D198" s="1829"/>
    </row>
    <row r="199" spans="1:4" ht="52.5">
      <c r="A199" s="2389" t="s">
        <v>2420</v>
      </c>
      <c r="B199" s="2390"/>
      <c r="C199" s="2787"/>
      <c r="D199" s="1829"/>
    </row>
    <row r="200" spans="1:4" ht="27">
      <c r="A200" s="2791" t="s">
        <v>2214</v>
      </c>
      <c r="B200" s="2792"/>
      <c r="C200" s="2793"/>
      <c r="D200" s="1829"/>
    </row>
    <row r="201" spans="1:4" ht="27">
      <c r="A201" s="2389" t="s">
        <v>2329</v>
      </c>
      <c r="B201" s="2390"/>
      <c r="C201" s="2787"/>
      <c r="D201" s="1829"/>
    </row>
    <row r="202" spans="1:4" ht="15">
      <c r="A202" s="2791" t="s">
        <v>2215</v>
      </c>
      <c r="B202" s="2792"/>
      <c r="C202" s="2793">
        <f>C203+C204</f>
        <v>0</v>
      </c>
      <c r="D202" s="1829"/>
    </row>
    <row r="203" spans="1:4" ht="27">
      <c r="A203" s="2791" t="s">
        <v>2216</v>
      </c>
      <c r="B203" s="2792"/>
      <c r="C203" s="2793"/>
      <c r="D203" s="1829"/>
    </row>
    <row r="204" spans="1:4" ht="27">
      <c r="A204" s="2791" t="s">
        <v>2217</v>
      </c>
      <c r="B204" s="2792"/>
      <c r="C204" s="2793"/>
      <c r="D204" s="1829"/>
    </row>
    <row r="205" spans="1:4" ht="16.5" customHeight="1">
      <c r="A205" s="2414" t="s">
        <v>2281</v>
      </c>
      <c r="B205" s="2395">
        <f t="shared" ref="B205:B207" si="36">+B206</f>
        <v>0</v>
      </c>
      <c r="C205" s="2787">
        <f>+C206</f>
        <v>84473</v>
      </c>
      <c r="D205" s="1829"/>
    </row>
    <row r="206" spans="1:4" ht="16.5" customHeight="1">
      <c r="A206" s="2414" t="s">
        <v>1578</v>
      </c>
      <c r="B206" s="2395">
        <f t="shared" si="36"/>
        <v>0</v>
      </c>
      <c r="C206" s="2787">
        <f>+C207</f>
        <v>84473</v>
      </c>
      <c r="D206" s="1829"/>
    </row>
    <row r="207" spans="1:4" ht="16.5" customHeight="1">
      <c r="A207" s="2388" t="s">
        <v>2282</v>
      </c>
      <c r="B207" s="2395">
        <f t="shared" si="36"/>
        <v>0</v>
      </c>
      <c r="C207" s="2787">
        <f>+C208</f>
        <v>84473</v>
      </c>
      <c r="D207" s="1829"/>
    </row>
    <row r="208" spans="1:4" ht="16.5" customHeight="1">
      <c r="A208" s="2414" t="s">
        <v>1568</v>
      </c>
      <c r="B208" s="2385">
        <f t="shared" ref="B208" si="37">B209</f>
        <v>0</v>
      </c>
      <c r="C208" s="2787">
        <f>C209</f>
        <v>84473</v>
      </c>
      <c r="D208" s="1829"/>
    </row>
    <row r="209" spans="1:5" ht="16.5" customHeight="1">
      <c r="A209" s="2414" t="s">
        <v>1569</v>
      </c>
      <c r="B209" s="2385">
        <f t="shared" ref="B209" si="38">B211+B212+B213</f>
        <v>0</v>
      </c>
      <c r="C209" s="2787">
        <f>C211+C212+C213</f>
        <v>84473</v>
      </c>
      <c r="D209" s="1829"/>
    </row>
    <row r="210" spans="1:5" ht="15">
      <c r="A210" s="2414" t="s">
        <v>880</v>
      </c>
      <c r="B210" s="2385">
        <f t="shared" ref="B210" si="39">B211</f>
        <v>0</v>
      </c>
      <c r="C210" s="2787">
        <f>C211</f>
        <v>84473</v>
      </c>
      <c r="D210" s="1829"/>
    </row>
    <row r="211" spans="1:5" ht="16.5" customHeight="1">
      <c r="A211" s="2415" t="s">
        <v>882</v>
      </c>
      <c r="B211" s="2390"/>
      <c r="C211" s="3975">
        <v>84473</v>
      </c>
      <c r="D211" s="1829"/>
    </row>
    <row r="212" spans="1:5" ht="16.5" customHeight="1">
      <c r="A212" s="2415" t="s">
        <v>884</v>
      </c>
      <c r="B212" s="2390"/>
      <c r="C212" s="2787"/>
      <c r="D212" s="1829"/>
    </row>
    <row r="213" spans="1:5" ht="14.25">
      <c r="A213" s="2393" t="s">
        <v>2283</v>
      </c>
      <c r="B213" s="2390"/>
      <c r="C213" s="2416"/>
      <c r="D213" s="1829"/>
    </row>
    <row r="214" spans="1:5" ht="14.25">
      <c r="D214" s="2783"/>
      <c r="E214" s="2783"/>
    </row>
    <row r="216" spans="1:5" ht="15.75">
      <c r="A216" s="1913" t="str">
        <f>+'ANEXA 1'!B94</f>
        <v>DIRECTOR  GENERAL,</v>
      </c>
      <c r="B216" s="1831"/>
      <c r="C216" s="2784" t="str">
        <f>'ANEXA 1'!D94</f>
        <v>DIRECTOR  EXECUTIV  ECONOMIC,</v>
      </c>
    </row>
    <row r="217" spans="1:5" ht="15.75">
      <c r="A217" s="1913"/>
    </row>
    <row r="218" spans="1:5" ht="15.75">
      <c r="A218" s="1913" t="str">
        <f>+'ANEXA 1'!B96</f>
        <v>EC.ALBU DRINA</v>
      </c>
      <c r="C218" s="2783" t="str">
        <f>'ANEXA 1'!D96</f>
        <v>EC.BIRCU FLORINA</v>
      </c>
      <c r="D218" s="2782"/>
      <c r="E218" s="2782"/>
    </row>
    <row r="219" spans="1:5" ht="15.75">
      <c r="A219" s="2417">
        <f>+'ANEXA 1'!B97</f>
        <v>0</v>
      </c>
    </row>
    <row r="220" spans="1:5">
      <c r="D220" s="2782"/>
      <c r="E220" s="2782"/>
    </row>
    <row r="221" spans="1:5" ht="14.25">
      <c r="A221" s="2377">
        <f>'ANEXA 1'!B99</f>
        <v>0</v>
      </c>
    </row>
    <row r="222" spans="1:5">
      <c r="A222" s="1832"/>
      <c r="B222" s="1833"/>
      <c r="C222" s="2782">
        <f>'ANEXA 1'!D99</f>
        <v>0</v>
      </c>
    </row>
    <row r="223" spans="1:5">
      <c r="A223" s="1832">
        <f>'ANEXA 1'!B101</f>
        <v>0</v>
      </c>
      <c r="B223" s="1833"/>
    </row>
    <row r="224" spans="1:5">
      <c r="A224" s="1832"/>
      <c r="B224" s="1833"/>
      <c r="C224" s="2782">
        <f>'ANEXA 1'!D101</f>
        <v>0</v>
      </c>
    </row>
  </sheetData>
  <protectedRanges>
    <protectedRange sqref="A4:A5 B3:B5" name="Zonă1_1_1" securityDescriptor="O:WDG:WDD:(A;;CC;;;WD)"/>
    <protectedRange sqref="A3" name="Zonă1_1_1_1_1_1_1" securityDescriptor="O:WDG:WDD:(A;;CC;;;WD)"/>
  </protectedRanges>
  <mergeCells count="1">
    <mergeCell ref="A3:C3"/>
  </mergeCells>
  <printOptions horizontalCentered="1"/>
  <pageMargins left="0.15748031496062992" right="0.15748031496062992" top="0.19685039370078741" bottom="0.15748031496062992" header="0.15748031496062992" footer="0.15748031496062992"/>
  <pageSetup paperSize="9" scale="57" orientation="portrait" r:id="rId1"/>
  <headerFooter alignWithMargins="0"/>
  <rowBreaks count="3" manualBreakCount="3">
    <brk id="79" max="5" man="1"/>
    <brk id="137" max="5" man="1"/>
    <brk id="200"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tabColor rgb="FFC00000"/>
  </sheetPr>
  <dimension ref="A1:AE567"/>
  <sheetViews>
    <sheetView showZeros="0" topLeftCell="A31" zoomScaleNormal="100" workbookViewId="0">
      <selection activeCell="G45" sqref="G45"/>
    </sheetView>
  </sheetViews>
  <sheetFormatPr defaultColWidth="9.140625" defaultRowHeight="12.75"/>
  <cols>
    <col min="1" max="1" width="49.28515625" style="156" customWidth="1"/>
    <col min="2" max="2" width="4.7109375" style="2849" customWidth="1"/>
    <col min="3" max="3" width="7.85546875" style="157" customWidth="1"/>
    <col min="4" max="4" width="7.5703125" style="157" customWidth="1"/>
    <col min="5" max="5" width="8.28515625" style="157" customWidth="1"/>
    <col min="6" max="6" width="9.42578125" style="157" customWidth="1"/>
    <col min="7" max="7" width="10" style="157" customWidth="1"/>
    <col min="8" max="8" width="8.140625" style="157" customWidth="1"/>
    <col min="9" max="9" width="9.5703125" style="157" customWidth="1"/>
    <col min="10" max="10" width="8" style="157" customWidth="1"/>
    <col min="11" max="11" width="7.85546875" style="157" customWidth="1"/>
    <col min="12" max="13" width="8.85546875" style="157" customWidth="1"/>
    <col min="14" max="14" width="8.7109375" style="157" customWidth="1"/>
    <col min="15" max="15" width="8.140625" style="157" customWidth="1"/>
    <col min="16" max="16" width="7.85546875" style="157" customWidth="1"/>
    <col min="17" max="17" width="10.85546875" style="158" customWidth="1"/>
    <col min="18" max="18" width="14.42578125" style="158" customWidth="1"/>
    <col min="19" max="19" width="9.140625" style="158"/>
    <col min="20" max="20" width="14.28515625" style="159" customWidth="1"/>
    <col min="21" max="31" width="9.140625" style="158"/>
    <col min="32" max="16384" width="9.140625" style="160"/>
  </cols>
  <sheetData>
    <row r="1" spans="1:31" ht="15">
      <c r="A1" s="161" t="str">
        <f>'ANEXA 1'!A1:E1</f>
        <v>CASA  DE  ASIGURĂRI  DE  SĂNĂTATE MEHEDINTI</v>
      </c>
      <c r="B1" s="1764"/>
      <c r="C1" s="163"/>
      <c r="D1" s="163"/>
      <c r="E1" s="163"/>
      <c r="F1" s="163"/>
      <c r="G1" s="163"/>
      <c r="H1" s="163"/>
      <c r="I1" s="163"/>
      <c r="J1" s="163"/>
      <c r="K1" s="163"/>
      <c r="L1" s="163"/>
      <c r="M1" s="163"/>
      <c r="N1" s="163"/>
      <c r="O1" s="163"/>
      <c r="P1" s="163"/>
    </row>
    <row r="2" spans="1:31" ht="15">
      <c r="A2" s="164"/>
      <c r="B2" s="1764"/>
      <c r="C2" s="163"/>
      <c r="D2" s="163"/>
      <c r="E2" s="163"/>
      <c r="F2" s="163"/>
      <c r="G2" s="163"/>
      <c r="H2" s="163"/>
      <c r="I2" s="163"/>
      <c r="J2" s="163"/>
      <c r="K2" s="163"/>
      <c r="L2" s="163"/>
      <c r="M2" s="163"/>
      <c r="N2" s="163"/>
      <c r="O2" s="163"/>
      <c r="P2" s="163"/>
    </row>
    <row r="3" spans="1:31" ht="21.75" customHeight="1">
      <c r="A3" s="4028" t="s">
        <v>326</v>
      </c>
      <c r="B3" s="4028"/>
      <c r="C3" s="4028"/>
      <c r="D3" s="4028"/>
      <c r="E3" s="4028"/>
      <c r="F3" s="4028"/>
      <c r="G3" s="4028"/>
      <c r="H3" s="4028"/>
      <c r="I3" s="4028"/>
      <c r="J3" s="4028"/>
      <c r="K3" s="4028"/>
      <c r="L3" s="4028"/>
      <c r="M3" s="4028"/>
      <c r="N3" s="4028"/>
      <c r="O3" s="4028"/>
      <c r="P3" s="4028"/>
      <c r="Q3" s="4028"/>
    </row>
    <row r="4" spans="1:31">
      <c r="A4" s="165" t="s">
        <v>327</v>
      </c>
      <c r="B4" s="2846"/>
      <c r="C4" s="163"/>
      <c r="D4" s="163"/>
      <c r="E4" s="163"/>
      <c r="F4" s="163"/>
      <c r="G4" s="163"/>
      <c r="H4" s="163"/>
      <c r="I4" s="163"/>
      <c r="J4" s="163"/>
      <c r="K4" s="163"/>
      <c r="L4" s="163"/>
      <c r="M4" s="163"/>
      <c r="N4" s="163"/>
      <c r="O4" s="163"/>
      <c r="P4" s="163"/>
      <c r="Q4" s="166" t="s">
        <v>271</v>
      </c>
    </row>
    <row r="5" spans="1:31" ht="12.75" customHeight="1">
      <c r="A5" s="4029" t="s">
        <v>328</v>
      </c>
      <c r="B5" s="4030" t="s">
        <v>329</v>
      </c>
      <c r="C5" s="4031" t="s">
        <v>330</v>
      </c>
      <c r="D5" s="167" t="s">
        <v>331</v>
      </c>
      <c r="E5" s="4033" t="s">
        <v>332</v>
      </c>
      <c r="F5" s="4037" t="s">
        <v>1991</v>
      </c>
      <c r="G5" s="4035" t="s">
        <v>2192</v>
      </c>
      <c r="H5" s="4037" t="s">
        <v>333</v>
      </c>
      <c r="I5" s="4037" t="s">
        <v>1992</v>
      </c>
      <c r="J5" s="4037" t="s">
        <v>334</v>
      </c>
      <c r="K5" s="4037" t="s">
        <v>1993</v>
      </c>
      <c r="L5" s="4037" t="s">
        <v>335</v>
      </c>
      <c r="M5" s="4037" t="s">
        <v>1994</v>
      </c>
      <c r="N5" s="4037" t="s">
        <v>336</v>
      </c>
      <c r="O5" s="4037" t="s">
        <v>1995</v>
      </c>
      <c r="P5" s="4037" t="s">
        <v>337</v>
      </c>
      <c r="Q5" s="168" t="s">
        <v>331</v>
      </c>
      <c r="R5" s="4026"/>
      <c r="S5" s="4027"/>
    </row>
    <row r="6" spans="1:31" ht="111.75" customHeight="1">
      <c r="A6" s="4029"/>
      <c r="B6" s="4030"/>
      <c r="C6" s="4032"/>
      <c r="D6" s="1754" t="s">
        <v>2191</v>
      </c>
      <c r="E6" s="4034"/>
      <c r="F6" s="4038"/>
      <c r="G6" s="4036"/>
      <c r="H6" s="4038"/>
      <c r="I6" s="4038"/>
      <c r="J6" s="4038"/>
      <c r="K6" s="4038"/>
      <c r="L6" s="4038"/>
      <c r="M6" s="4038"/>
      <c r="N6" s="4038"/>
      <c r="O6" s="4038"/>
      <c r="P6" s="4038"/>
      <c r="Q6" s="1755" t="s">
        <v>338</v>
      </c>
      <c r="R6" s="4026"/>
      <c r="S6" s="4027"/>
    </row>
    <row r="7" spans="1:31" s="176" customFormat="1" ht="11.25">
      <c r="A7" s="169" t="s">
        <v>92</v>
      </c>
      <c r="B7" s="170" t="s">
        <v>93</v>
      </c>
      <c r="C7" s="171">
        <v>1</v>
      </c>
      <c r="D7" s="171" t="s">
        <v>339</v>
      </c>
      <c r="E7" s="171" t="s">
        <v>1989</v>
      </c>
      <c r="F7" s="171" t="s">
        <v>27</v>
      </c>
      <c r="G7" s="1159" t="s">
        <v>1990</v>
      </c>
      <c r="H7" s="171" t="s">
        <v>341</v>
      </c>
      <c r="I7" s="171" t="s">
        <v>342</v>
      </c>
      <c r="J7" s="171" t="s">
        <v>343</v>
      </c>
      <c r="K7" s="171" t="s">
        <v>344</v>
      </c>
      <c r="L7" s="171" t="s">
        <v>345</v>
      </c>
      <c r="M7" s="171" t="s">
        <v>33</v>
      </c>
      <c r="N7" s="171" t="s">
        <v>434</v>
      </c>
      <c r="O7" s="171" t="s">
        <v>436</v>
      </c>
      <c r="P7" s="171" t="s">
        <v>438</v>
      </c>
      <c r="Q7" s="172" t="s">
        <v>440</v>
      </c>
      <c r="R7" s="173"/>
      <c r="S7" s="174"/>
      <c r="T7" s="175"/>
      <c r="U7" s="174"/>
      <c r="V7" s="174"/>
      <c r="W7" s="174"/>
      <c r="X7" s="174"/>
      <c r="Y7" s="174"/>
      <c r="Z7" s="174"/>
      <c r="AA7" s="174"/>
      <c r="AB7" s="174"/>
      <c r="AC7" s="174"/>
      <c r="AD7" s="174"/>
      <c r="AE7" s="174"/>
    </row>
    <row r="8" spans="1:31" ht="39" customHeight="1">
      <c r="A8" s="1160" t="s">
        <v>346</v>
      </c>
      <c r="B8" s="2847">
        <v>1</v>
      </c>
      <c r="C8" s="1161"/>
      <c r="D8" s="1161"/>
      <c r="E8" s="1162">
        <f t="shared" ref="E8:E35" si="0">D8-G8</f>
        <v>0</v>
      </c>
      <c r="F8" s="1162"/>
      <c r="G8" s="1162">
        <f>+H8+J8+L8+N8+Q8</f>
        <v>0</v>
      </c>
      <c r="H8" s="1161"/>
      <c r="I8" s="1161"/>
      <c r="J8" s="1161"/>
      <c r="K8" s="1161"/>
      <c r="L8" s="1161"/>
      <c r="M8" s="1161"/>
      <c r="N8" s="1161"/>
      <c r="O8" s="1161"/>
      <c r="P8" s="1161"/>
      <c r="Q8" s="1163"/>
      <c r="R8" s="177"/>
    </row>
    <row r="9" spans="1:31" ht="24" customHeight="1">
      <c r="A9" s="2503" t="s">
        <v>347</v>
      </c>
      <c r="B9" s="2510">
        <v>2</v>
      </c>
      <c r="C9" s="2504"/>
      <c r="D9" s="2504"/>
      <c r="E9" s="2505">
        <f t="shared" si="0"/>
        <v>0</v>
      </c>
      <c r="F9" s="2505"/>
      <c r="G9" s="2505">
        <f>H9+J9+L9+N9+Q9</f>
        <v>0</v>
      </c>
      <c r="H9" s="2504"/>
      <c r="I9" s="2504"/>
      <c r="J9" s="2504"/>
      <c r="K9" s="2506"/>
      <c r="L9" s="2504"/>
      <c r="M9" s="2504"/>
      <c r="N9" s="2504"/>
      <c r="O9" s="2504"/>
      <c r="P9" s="2504"/>
      <c r="Q9" s="2507"/>
      <c r="R9" s="177"/>
    </row>
    <row r="10" spans="1:31" ht="21" customHeight="1">
      <c r="A10" s="2508" t="s">
        <v>348</v>
      </c>
      <c r="B10" s="2510">
        <v>3</v>
      </c>
      <c r="C10" s="2504"/>
      <c r="D10" s="2504"/>
      <c r="E10" s="2505">
        <f t="shared" si="0"/>
        <v>0</v>
      </c>
      <c r="F10" s="2505"/>
      <c r="G10" s="2505">
        <f t="shared" ref="G10:G51" si="1">+H10+J10+L10+N10+Q10</f>
        <v>0</v>
      </c>
      <c r="H10" s="2504"/>
      <c r="I10" s="2504"/>
      <c r="J10" s="2504"/>
      <c r="K10" s="2504"/>
      <c r="L10" s="2504"/>
      <c r="M10" s="2504"/>
      <c r="N10" s="2504"/>
      <c r="O10" s="2504"/>
      <c r="P10" s="2504"/>
      <c r="Q10" s="2507"/>
      <c r="R10" s="177"/>
    </row>
    <row r="11" spans="1:31" ht="38.25" customHeight="1">
      <c r="A11" s="2503" t="s">
        <v>349</v>
      </c>
      <c r="B11" s="2510">
        <v>4</v>
      </c>
      <c r="C11" s="2504"/>
      <c r="D11" s="2504"/>
      <c r="E11" s="2505">
        <f t="shared" si="0"/>
        <v>0</v>
      </c>
      <c r="F11" s="2505"/>
      <c r="G11" s="2505">
        <f t="shared" si="1"/>
        <v>0</v>
      </c>
      <c r="H11" s="2504"/>
      <c r="I11" s="2504"/>
      <c r="J11" s="2504"/>
      <c r="K11" s="2504"/>
      <c r="L11" s="2504"/>
      <c r="M11" s="2504"/>
      <c r="N11" s="2504"/>
      <c r="O11" s="2504"/>
      <c r="P11" s="2504"/>
      <c r="Q11" s="2507"/>
      <c r="R11" s="162"/>
    </row>
    <row r="12" spans="1:31" ht="36" customHeight="1">
      <c r="A12" s="2509" t="s">
        <v>350</v>
      </c>
      <c r="B12" s="2510">
        <v>5</v>
      </c>
      <c r="C12" s="2504"/>
      <c r="D12" s="2504"/>
      <c r="E12" s="2505">
        <f t="shared" si="0"/>
        <v>0</v>
      </c>
      <c r="F12" s="2505"/>
      <c r="G12" s="2505">
        <f t="shared" si="1"/>
        <v>0</v>
      </c>
      <c r="H12" s="2504"/>
      <c r="I12" s="2504"/>
      <c r="J12" s="2504"/>
      <c r="K12" s="2504"/>
      <c r="L12" s="2504"/>
      <c r="M12" s="2504"/>
      <c r="N12" s="2504"/>
      <c r="O12" s="2504"/>
      <c r="P12" s="2504"/>
      <c r="Q12" s="2507"/>
      <c r="R12" s="177"/>
    </row>
    <row r="13" spans="1:31" ht="24.75" customHeight="1">
      <c r="A13" s="2503" t="s">
        <v>351</v>
      </c>
      <c r="B13" s="2510">
        <v>6</v>
      </c>
      <c r="C13" s="2504"/>
      <c r="D13" s="2504"/>
      <c r="E13" s="2505">
        <f t="shared" si="0"/>
        <v>0</v>
      </c>
      <c r="F13" s="2505"/>
      <c r="G13" s="2505">
        <f t="shared" si="1"/>
        <v>0</v>
      </c>
      <c r="H13" s="2504"/>
      <c r="I13" s="2504"/>
      <c r="J13" s="2504"/>
      <c r="K13" s="2504"/>
      <c r="L13" s="2504"/>
      <c r="M13" s="2504"/>
      <c r="N13" s="2504"/>
      <c r="O13" s="2504"/>
      <c r="P13" s="2504"/>
      <c r="Q13" s="2507"/>
      <c r="R13" s="162"/>
    </row>
    <row r="14" spans="1:31" ht="24.75" customHeight="1">
      <c r="A14" s="2503" t="s">
        <v>352</v>
      </c>
      <c r="B14" s="2510">
        <v>7</v>
      </c>
      <c r="C14" s="2504"/>
      <c r="D14" s="2504"/>
      <c r="E14" s="2505">
        <f t="shared" si="0"/>
        <v>0</v>
      </c>
      <c r="F14" s="2505"/>
      <c r="G14" s="2505">
        <f t="shared" si="1"/>
        <v>0</v>
      </c>
      <c r="H14" s="2504"/>
      <c r="I14" s="2504"/>
      <c r="J14" s="2504"/>
      <c r="K14" s="2504"/>
      <c r="L14" s="2504"/>
      <c r="M14" s="2504"/>
      <c r="N14" s="2504"/>
      <c r="O14" s="2504"/>
      <c r="P14" s="2504"/>
      <c r="Q14" s="2507"/>
      <c r="R14" s="162"/>
    </row>
    <row r="15" spans="1:31" ht="25.5">
      <c r="A15" s="2503" t="s">
        <v>353</v>
      </c>
      <c r="B15" s="2510">
        <v>8</v>
      </c>
      <c r="C15" s="2504"/>
      <c r="D15" s="2504"/>
      <c r="E15" s="2505">
        <f t="shared" si="0"/>
        <v>0</v>
      </c>
      <c r="F15" s="2505"/>
      <c r="G15" s="2505">
        <f t="shared" si="1"/>
        <v>0</v>
      </c>
      <c r="H15" s="2504"/>
      <c r="I15" s="2504"/>
      <c r="J15" s="2504"/>
      <c r="K15" s="2504"/>
      <c r="L15" s="2504"/>
      <c r="M15" s="2504"/>
      <c r="N15" s="2504"/>
      <c r="O15" s="2504"/>
      <c r="P15" s="2504"/>
      <c r="Q15" s="2507"/>
      <c r="R15" s="177"/>
    </row>
    <row r="16" spans="1:31" ht="27.75" customHeight="1">
      <c r="A16" s="2503" t="s">
        <v>354</v>
      </c>
      <c r="B16" s="2510">
        <v>9</v>
      </c>
      <c r="C16" s="2504"/>
      <c r="D16" s="2504"/>
      <c r="E16" s="2505">
        <f t="shared" si="0"/>
        <v>0</v>
      </c>
      <c r="F16" s="2505"/>
      <c r="G16" s="2505">
        <f t="shared" si="1"/>
        <v>0</v>
      </c>
      <c r="H16" s="2504"/>
      <c r="I16" s="2504"/>
      <c r="J16" s="2504"/>
      <c r="K16" s="2504"/>
      <c r="L16" s="2504"/>
      <c r="M16" s="2504"/>
      <c r="N16" s="2504"/>
      <c r="O16" s="2504"/>
      <c r="P16" s="2504"/>
      <c r="Q16" s="2507"/>
      <c r="R16" s="162"/>
    </row>
    <row r="17" spans="1:18" ht="22.5" customHeight="1">
      <c r="A17" s="2503" t="s">
        <v>355</v>
      </c>
      <c r="B17" s="2510">
        <v>10</v>
      </c>
      <c r="C17" s="2504"/>
      <c r="D17" s="2504"/>
      <c r="E17" s="2505">
        <f t="shared" si="0"/>
        <v>0</v>
      </c>
      <c r="F17" s="2505"/>
      <c r="G17" s="2505">
        <f t="shared" si="1"/>
        <v>0</v>
      </c>
      <c r="H17" s="2504"/>
      <c r="I17" s="2504"/>
      <c r="J17" s="2504"/>
      <c r="K17" s="2504"/>
      <c r="L17" s="2504"/>
      <c r="M17" s="2504"/>
      <c r="N17" s="2504"/>
      <c r="O17" s="2504"/>
      <c r="P17" s="2504"/>
      <c r="Q17" s="2507"/>
      <c r="R17" s="162"/>
    </row>
    <row r="18" spans="1:18" ht="27" customHeight="1">
      <c r="A18" s="2503" t="s">
        <v>356</v>
      </c>
      <c r="B18" s="2510">
        <v>11</v>
      </c>
      <c r="C18" s="2504"/>
      <c r="D18" s="2504"/>
      <c r="E18" s="2505">
        <f t="shared" si="0"/>
        <v>0</v>
      </c>
      <c r="F18" s="2505"/>
      <c r="G18" s="2505">
        <f t="shared" si="1"/>
        <v>0</v>
      </c>
      <c r="H18" s="2504"/>
      <c r="I18" s="2504"/>
      <c r="J18" s="2504"/>
      <c r="K18" s="2504"/>
      <c r="L18" s="2504"/>
      <c r="M18" s="2504"/>
      <c r="N18" s="2504"/>
      <c r="O18" s="2504"/>
      <c r="P18" s="2504"/>
      <c r="Q18" s="2507"/>
      <c r="R18" s="162"/>
    </row>
    <row r="19" spans="1:18" ht="28.5" customHeight="1">
      <c r="A19" s="2503" t="s">
        <v>357</v>
      </c>
      <c r="B19" s="2510">
        <v>12</v>
      </c>
      <c r="C19" s="2504"/>
      <c r="D19" s="2504"/>
      <c r="E19" s="2505">
        <f t="shared" si="0"/>
        <v>0</v>
      </c>
      <c r="F19" s="2505"/>
      <c r="G19" s="2505">
        <f t="shared" si="1"/>
        <v>0</v>
      </c>
      <c r="H19" s="2504"/>
      <c r="I19" s="2504"/>
      <c r="J19" s="2504"/>
      <c r="K19" s="2504"/>
      <c r="L19" s="2504"/>
      <c r="M19" s="2504"/>
      <c r="N19" s="2504"/>
      <c r="O19" s="2504"/>
      <c r="P19" s="2504"/>
      <c r="Q19" s="2507"/>
      <c r="R19" s="162"/>
    </row>
    <row r="20" spans="1:18" ht="21" customHeight="1">
      <c r="A20" s="2508" t="s">
        <v>358</v>
      </c>
      <c r="B20" s="2510">
        <v>14</v>
      </c>
      <c r="C20" s="2504"/>
      <c r="D20" s="2504"/>
      <c r="E20" s="2505">
        <f t="shared" si="0"/>
        <v>0</v>
      </c>
      <c r="F20" s="2505"/>
      <c r="G20" s="2505">
        <f t="shared" si="1"/>
        <v>0</v>
      </c>
      <c r="H20" s="2504"/>
      <c r="I20" s="2504"/>
      <c r="J20" s="2504"/>
      <c r="K20" s="2504"/>
      <c r="L20" s="2504"/>
      <c r="M20" s="2504"/>
      <c r="N20" s="2504"/>
      <c r="O20" s="2504"/>
      <c r="P20" s="2504"/>
      <c r="Q20" s="2507"/>
      <c r="R20" s="162"/>
    </row>
    <row r="21" spans="1:18" ht="24.75" customHeight="1">
      <c r="A21" s="2503" t="s">
        <v>359</v>
      </c>
      <c r="B21" s="2510">
        <v>15</v>
      </c>
      <c r="C21" s="2504"/>
      <c r="D21" s="2504"/>
      <c r="E21" s="2505">
        <f t="shared" si="0"/>
        <v>0</v>
      </c>
      <c r="F21" s="2505"/>
      <c r="G21" s="2505">
        <f t="shared" si="1"/>
        <v>0</v>
      </c>
      <c r="H21" s="2504"/>
      <c r="I21" s="2504"/>
      <c r="J21" s="2504"/>
      <c r="K21" s="2504"/>
      <c r="L21" s="2504"/>
      <c r="M21" s="2504"/>
      <c r="N21" s="2504"/>
      <c r="O21" s="2504"/>
      <c r="P21" s="2504"/>
      <c r="Q21" s="2507"/>
      <c r="R21" s="177"/>
    </row>
    <row r="22" spans="1:18" ht="21" customHeight="1">
      <c r="A22" s="2503" t="s">
        <v>360</v>
      </c>
      <c r="B22" s="2510">
        <v>16</v>
      </c>
      <c r="C22" s="2504"/>
      <c r="D22" s="2504"/>
      <c r="E22" s="2505">
        <f t="shared" si="0"/>
        <v>0</v>
      </c>
      <c r="F22" s="2505"/>
      <c r="G22" s="2505">
        <f t="shared" si="1"/>
        <v>0</v>
      </c>
      <c r="H22" s="2504"/>
      <c r="I22" s="2504"/>
      <c r="J22" s="2504"/>
      <c r="K22" s="2504"/>
      <c r="L22" s="2504"/>
      <c r="M22" s="2504"/>
      <c r="N22" s="2504"/>
      <c r="O22" s="2504"/>
      <c r="P22" s="2504"/>
      <c r="Q22" s="2507"/>
      <c r="R22" s="177"/>
    </row>
    <row r="23" spans="1:18" ht="21" customHeight="1">
      <c r="A23" s="2508" t="s">
        <v>361</v>
      </c>
      <c r="B23" s="2510">
        <v>17</v>
      </c>
      <c r="C23" s="2504"/>
      <c r="D23" s="2504"/>
      <c r="E23" s="2505">
        <f t="shared" si="0"/>
        <v>0</v>
      </c>
      <c r="F23" s="2505"/>
      <c r="G23" s="2505">
        <f t="shared" si="1"/>
        <v>0</v>
      </c>
      <c r="H23" s="2504"/>
      <c r="I23" s="2504"/>
      <c r="J23" s="2504"/>
      <c r="K23" s="2504"/>
      <c r="L23" s="2504"/>
      <c r="M23" s="2504"/>
      <c r="N23" s="2504"/>
      <c r="O23" s="2504"/>
      <c r="P23" s="2504"/>
      <c r="Q23" s="2507"/>
      <c r="R23" s="177"/>
    </row>
    <row r="24" spans="1:18" ht="23.25" customHeight="1">
      <c r="A24" s="2508" t="s">
        <v>362</v>
      </c>
      <c r="B24" s="2510">
        <v>18</v>
      </c>
      <c r="C24" s="2504"/>
      <c r="D24" s="2504"/>
      <c r="E24" s="2505">
        <f t="shared" si="0"/>
        <v>0</v>
      </c>
      <c r="F24" s="2505"/>
      <c r="G24" s="2505">
        <f t="shared" si="1"/>
        <v>0</v>
      </c>
      <c r="H24" s="2504"/>
      <c r="I24" s="2504"/>
      <c r="J24" s="2504"/>
      <c r="K24" s="2504"/>
      <c r="L24" s="2504"/>
      <c r="M24" s="2504"/>
      <c r="N24" s="2504"/>
      <c r="O24" s="2504"/>
      <c r="P24" s="2504"/>
      <c r="Q24" s="2507"/>
      <c r="R24" s="162"/>
    </row>
    <row r="25" spans="1:18" ht="25.5">
      <c r="A25" s="2503" t="s">
        <v>0</v>
      </c>
      <c r="B25" s="2510">
        <v>19</v>
      </c>
      <c r="C25" s="2504"/>
      <c r="D25" s="2504"/>
      <c r="E25" s="2505">
        <f t="shared" si="0"/>
        <v>0</v>
      </c>
      <c r="F25" s="2505"/>
      <c r="G25" s="2505">
        <f t="shared" si="1"/>
        <v>0</v>
      </c>
      <c r="H25" s="2504"/>
      <c r="I25" s="2504"/>
      <c r="J25" s="2504"/>
      <c r="K25" s="2504"/>
      <c r="L25" s="2504"/>
      <c r="M25" s="2504"/>
      <c r="N25" s="2504"/>
      <c r="O25" s="2504"/>
      <c r="P25" s="2504"/>
      <c r="Q25" s="2507"/>
      <c r="R25" s="177"/>
    </row>
    <row r="26" spans="1:18" ht="38.25">
      <c r="A26" s="2503" t="s">
        <v>1</v>
      </c>
      <c r="B26" s="2510">
        <v>20</v>
      </c>
      <c r="C26" s="2504"/>
      <c r="D26" s="2504"/>
      <c r="E26" s="2505">
        <f t="shared" si="0"/>
        <v>0</v>
      </c>
      <c r="F26" s="2505"/>
      <c r="G26" s="2505">
        <f t="shared" si="1"/>
        <v>0</v>
      </c>
      <c r="H26" s="2504"/>
      <c r="I26" s="2504"/>
      <c r="J26" s="2504"/>
      <c r="K26" s="2504"/>
      <c r="L26" s="2504"/>
      <c r="M26" s="2504"/>
      <c r="N26" s="2504"/>
      <c r="O26" s="2504"/>
      <c r="P26" s="2504"/>
      <c r="Q26" s="2507"/>
      <c r="R26" s="177"/>
    </row>
    <row r="27" spans="1:18" ht="38.25">
      <c r="A27" s="2503" t="s">
        <v>2</v>
      </c>
      <c r="B27" s="2510">
        <v>21</v>
      </c>
      <c r="C27" s="2504"/>
      <c r="D27" s="2504"/>
      <c r="E27" s="2505">
        <f t="shared" si="0"/>
        <v>0</v>
      </c>
      <c r="F27" s="2505"/>
      <c r="G27" s="2505">
        <f t="shared" si="1"/>
        <v>0</v>
      </c>
      <c r="H27" s="2504"/>
      <c r="I27" s="2504"/>
      <c r="J27" s="2504"/>
      <c r="K27" s="2504"/>
      <c r="L27" s="2504"/>
      <c r="M27" s="2504"/>
      <c r="N27" s="2504"/>
      <c r="O27" s="2504"/>
      <c r="P27" s="2504"/>
      <c r="Q27" s="2507"/>
      <c r="R27" s="177"/>
    </row>
    <row r="28" spans="1:18">
      <c r="A28" s="2503" t="s">
        <v>3</v>
      </c>
      <c r="B28" s="2510">
        <v>22</v>
      </c>
      <c r="C28" s="2504"/>
      <c r="D28" s="2504"/>
      <c r="E28" s="2505">
        <f t="shared" si="0"/>
        <v>0</v>
      </c>
      <c r="F28" s="2505"/>
      <c r="G28" s="2505">
        <f t="shared" si="1"/>
        <v>0</v>
      </c>
      <c r="H28" s="2504"/>
      <c r="I28" s="2504"/>
      <c r="J28" s="2504"/>
      <c r="K28" s="2504"/>
      <c r="L28" s="2504"/>
      <c r="M28" s="2504"/>
      <c r="N28" s="2504"/>
      <c r="O28" s="2504"/>
      <c r="P28" s="2504"/>
      <c r="Q28" s="2507"/>
      <c r="R28" s="177"/>
    </row>
    <row r="29" spans="1:18" ht="25.5">
      <c r="A29" s="2503" t="s">
        <v>4</v>
      </c>
      <c r="B29" s="2510">
        <v>23</v>
      </c>
      <c r="C29" s="2504"/>
      <c r="D29" s="2504"/>
      <c r="E29" s="2505">
        <f t="shared" si="0"/>
        <v>0</v>
      </c>
      <c r="F29" s="2505"/>
      <c r="G29" s="2505">
        <f t="shared" si="1"/>
        <v>0</v>
      </c>
      <c r="H29" s="2504"/>
      <c r="I29" s="2504"/>
      <c r="J29" s="2504"/>
      <c r="K29" s="2504"/>
      <c r="L29" s="2504"/>
      <c r="M29" s="2504"/>
      <c r="N29" s="2504"/>
      <c r="O29" s="2504"/>
      <c r="P29" s="2504"/>
      <c r="Q29" s="2507"/>
      <c r="R29" s="177"/>
    </row>
    <row r="30" spans="1:18" ht="25.5">
      <c r="A30" s="2503" t="s">
        <v>5</v>
      </c>
      <c r="B30" s="2510">
        <v>24</v>
      </c>
      <c r="C30" s="2504"/>
      <c r="D30" s="2504"/>
      <c r="E30" s="2505">
        <f t="shared" si="0"/>
        <v>0</v>
      </c>
      <c r="F30" s="2505"/>
      <c r="G30" s="2505">
        <f t="shared" si="1"/>
        <v>0</v>
      </c>
      <c r="H30" s="2504"/>
      <c r="I30" s="2504"/>
      <c r="J30" s="2504"/>
      <c r="K30" s="2504"/>
      <c r="L30" s="2504"/>
      <c r="M30" s="2504"/>
      <c r="N30" s="2504"/>
      <c r="O30" s="2504"/>
      <c r="P30" s="2504"/>
      <c r="Q30" s="2511"/>
      <c r="R30" s="177"/>
    </row>
    <row r="31" spans="1:18" ht="25.5">
      <c r="A31" s="2503" t="s">
        <v>6</v>
      </c>
      <c r="B31" s="2510">
        <v>25</v>
      </c>
      <c r="C31" s="2504"/>
      <c r="D31" s="2504"/>
      <c r="E31" s="2505">
        <f t="shared" si="0"/>
        <v>0</v>
      </c>
      <c r="F31" s="2505"/>
      <c r="G31" s="2505">
        <f t="shared" si="1"/>
        <v>0</v>
      </c>
      <c r="H31" s="2504"/>
      <c r="I31" s="2504"/>
      <c r="J31" s="2504"/>
      <c r="K31" s="2504"/>
      <c r="L31" s="2504"/>
      <c r="M31" s="2504"/>
      <c r="N31" s="2504"/>
      <c r="O31" s="2504"/>
      <c r="P31" s="2504"/>
      <c r="Q31" s="2511"/>
      <c r="R31" s="177"/>
    </row>
    <row r="32" spans="1:18" ht="24" customHeight="1">
      <c r="A32" s="2525" t="s">
        <v>7</v>
      </c>
      <c r="B32" s="2526">
        <v>26</v>
      </c>
      <c r="C32" s="2527"/>
      <c r="D32" s="2527"/>
      <c r="E32" s="2528">
        <f t="shared" si="0"/>
        <v>0</v>
      </c>
      <c r="F32" s="2528"/>
      <c r="G32" s="2528">
        <f t="shared" si="1"/>
        <v>0</v>
      </c>
      <c r="H32" s="2527"/>
      <c r="I32" s="2527"/>
      <c r="J32" s="2527"/>
      <c r="K32" s="2527"/>
      <c r="L32" s="2527"/>
      <c r="M32" s="2527"/>
      <c r="N32" s="2527"/>
      <c r="O32" s="2527"/>
      <c r="P32" s="2527"/>
      <c r="Q32" s="2529"/>
      <c r="R32" s="177"/>
    </row>
    <row r="33" spans="1:18" ht="24" customHeight="1">
      <c r="A33" s="2520" t="s">
        <v>8</v>
      </c>
      <c r="B33" s="2521">
        <v>27</v>
      </c>
      <c r="C33" s="2522"/>
      <c r="D33" s="2522"/>
      <c r="E33" s="2523">
        <f t="shared" si="0"/>
        <v>0</v>
      </c>
      <c r="F33" s="2523"/>
      <c r="G33" s="2523">
        <f t="shared" si="1"/>
        <v>0</v>
      </c>
      <c r="H33" s="2522"/>
      <c r="I33" s="2522"/>
      <c r="J33" s="2522"/>
      <c r="K33" s="2522"/>
      <c r="L33" s="2522"/>
      <c r="M33" s="2522"/>
      <c r="N33" s="2522"/>
      <c r="O33" s="2522"/>
      <c r="P33" s="2522"/>
      <c r="Q33" s="2524"/>
      <c r="R33" s="177"/>
    </row>
    <row r="34" spans="1:18" ht="24" customHeight="1">
      <c r="A34" s="2503" t="s">
        <v>9</v>
      </c>
      <c r="B34" s="2510">
        <v>28</v>
      </c>
      <c r="C34" s="2504"/>
      <c r="D34" s="2504"/>
      <c r="E34" s="2505">
        <f t="shared" si="0"/>
        <v>0</v>
      </c>
      <c r="F34" s="2505"/>
      <c r="G34" s="2505">
        <f t="shared" si="1"/>
        <v>0</v>
      </c>
      <c r="H34" s="2504"/>
      <c r="I34" s="2504"/>
      <c r="J34" s="2504"/>
      <c r="K34" s="2504"/>
      <c r="L34" s="2504"/>
      <c r="M34" s="2504"/>
      <c r="N34" s="2504"/>
      <c r="O34" s="2504"/>
      <c r="P34" s="2504"/>
      <c r="Q34" s="2511"/>
      <c r="R34" s="177"/>
    </row>
    <row r="35" spans="1:18" ht="24" customHeight="1">
      <c r="A35" s="2503" t="s">
        <v>10</v>
      </c>
      <c r="B35" s="2510">
        <v>29</v>
      </c>
      <c r="C35" s="2504"/>
      <c r="D35" s="2504"/>
      <c r="E35" s="2505">
        <f t="shared" si="0"/>
        <v>0</v>
      </c>
      <c r="F35" s="2505"/>
      <c r="G35" s="2505">
        <f t="shared" si="1"/>
        <v>0</v>
      </c>
      <c r="H35" s="2504"/>
      <c r="I35" s="2504"/>
      <c r="J35" s="2504"/>
      <c r="K35" s="2504"/>
      <c r="L35" s="2504"/>
      <c r="M35" s="2504"/>
      <c r="N35" s="2504"/>
      <c r="O35" s="2504"/>
      <c r="P35" s="2504"/>
      <c r="Q35" s="2511"/>
      <c r="R35" s="177"/>
    </row>
    <row r="36" spans="1:18" ht="24" customHeight="1">
      <c r="A36" s="2503" t="s">
        <v>1967</v>
      </c>
      <c r="B36" s="2510">
        <v>30</v>
      </c>
      <c r="C36" s="2506"/>
      <c r="D36" s="2506"/>
      <c r="E36" s="2512">
        <f>D36-G36</f>
        <v>0</v>
      </c>
      <c r="F36" s="2512"/>
      <c r="G36" s="2512">
        <f t="shared" si="1"/>
        <v>0</v>
      </c>
      <c r="H36" s="2506"/>
      <c r="I36" s="2506"/>
      <c r="J36" s="2506"/>
      <c r="K36" s="2506">
        <f>'ANEXA 5 '!H111</f>
        <v>0</v>
      </c>
      <c r="L36" s="2506"/>
      <c r="M36" s="2506"/>
      <c r="N36" s="2506"/>
      <c r="O36" s="2506"/>
      <c r="P36" s="2506"/>
      <c r="Q36" s="2513"/>
      <c r="R36" s="177"/>
    </row>
    <row r="37" spans="1:18" ht="24" customHeight="1">
      <c r="A37" s="2503" t="s">
        <v>1968</v>
      </c>
      <c r="B37" s="2510">
        <v>31</v>
      </c>
      <c r="C37" s="2506"/>
      <c r="D37" s="2506"/>
      <c r="E37" s="2512"/>
      <c r="F37" s="2512"/>
      <c r="G37" s="2512">
        <f t="shared" si="1"/>
        <v>0</v>
      </c>
      <c r="H37" s="2506"/>
      <c r="I37" s="2506"/>
      <c r="J37" s="2506"/>
      <c r="K37" s="2506"/>
      <c r="L37" s="2506"/>
      <c r="M37" s="2506"/>
      <c r="N37" s="2506"/>
      <c r="O37" s="2506"/>
      <c r="P37" s="2506"/>
      <c r="Q37" s="2513"/>
      <c r="R37" s="177"/>
    </row>
    <row r="38" spans="1:18" ht="24" customHeight="1">
      <c r="A38" s="2503" t="s">
        <v>1969</v>
      </c>
      <c r="B38" s="2510">
        <v>32</v>
      </c>
      <c r="C38" s="2506"/>
      <c r="D38" s="2506"/>
      <c r="E38" s="2512"/>
      <c r="F38" s="2512"/>
      <c r="G38" s="2512">
        <f t="shared" si="1"/>
        <v>0</v>
      </c>
      <c r="H38" s="2506"/>
      <c r="I38" s="2506"/>
      <c r="J38" s="2506"/>
      <c r="K38" s="2506"/>
      <c r="L38" s="2506"/>
      <c r="M38" s="2506"/>
      <c r="N38" s="2506"/>
      <c r="O38" s="2506"/>
      <c r="P38" s="2506"/>
      <c r="Q38" s="2513"/>
      <c r="R38" s="177"/>
    </row>
    <row r="39" spans="1:18" ht="24" customHeight="1">
      <c r="A39" s="2503" t="s">
        <v>1970</v>
      </c>
      <c r="B39" s="2510">
        <v>33</v>
      </c>
      <c r="C39" s="2514">
        <f>PLATI!C83</f>
        <v>0</v>
      </c>
      <c r="D39" s="2514">
        <f>PLATI!C86</f>
        <v>0</v>
      </c>
      <c r="E39" s="2514">
        <f>D39-G39</f>
        <v>0</v>
      </c>
      <c r="F39" s="2506"/>
      <c r="G39" s="2512">
        <f t="shared" si="1"/>
        <v>0</v>
      </c>
      <c r="H39" s="2506"/>
      <c r="I39" s="2975"/>
      <c r="J39" s="2512">
        <f>'VENITURI '!C103</f>
        <v>0</v>
      </c>
      <c r="K39" s="2512">
        <f>'VENITURI '!C104</f>
        <v>0</v>
      </c>
      <c r="L39" s="2506"/>
      <c r="M39" s="2506"/>
      <c r="N39" s="2506"/>
      <c r="O39" s="2506"/>
      <c r="P39" s="2506"/>
      <c r="Q39" s="2513"/>
      <c r="R39" s="177"/>
    </row>
    <row r="40" spans="1:18" ht="24" customHeight="1">
      <c r="A40" s="2503" t="s">
        <v>1971</v>
      </c>
      <c r="B40" s="2510">
        <v>34</v>
      </c>
      <c r="C40" s="2504"/>
      <c r="D40" s="2504"/>
      <c r="E40" s="2505"/>
      <c r="F40" s="2505"/>
      <c r="G40" s="2505">
        <f t="shared" si="1"/>
        <v>0</v>
      </c>
      <c r="H40" s="2504"/>
      <c r="I40" s="2504"/>
      <c r="J40" s="2504"/>
      <c r="K40" s="2504"/>
      <c r="L40" s="2504"/>
      <c r="M40" s="2504"/>
      <c r="N40" s="2504"/>
      <c r="O40" s="2504"/>
      <c r="P40" s="2504"/>
      <c r="Q40" s="2511"/>
      <c r="R40" s="177"/>
    </row>
    <row r="41" spans="1:18" ht="24" customHeight="1">
      <c r="A41" s="2515" t="s">
        <v>1972</v>
      </c>
      <c r="B41" s="2510">
        <v>35</v>
      </c>
      <c r="C41" s="2504"/>
      <c r="D41" s="2504"/>
      <c r="E41" s="2505"/>
      <c r="F41" s="2505"/>
      <c r="G41" s="2505">
        <f t="shared" si="1"/>
        <v>0</v>
      </c>
      <c r="H41" s="2504"/>
      <c r="I41" s="2504"/>
      <c r="J41" s="2504"/>
      <c r="K41" s="2504"/>
      <c r="L41" s="2504"/>
      <c r="M41" s="2504"/>
      <c r="N41" s="2504"/>
      <c r="O41" s="2504"/>
      <c r="P41" s="2504"/>
      <c r="Q41" s="2511"/>
      <c r="R41" s="177"/>
    </row>
    <row r="42" spans="1:18" ht="24" customHeight="1">
      <c r="A42" s="2503" t="s">
        <v>1973</v>
      </c>
      <c r="B42" s="2510">
        <v>36</v>
      </c>
      <c r="C42" s="2504"/>
      <c r="D42" s="2504"/>
      <c r="E42" s="2505"/>
      <c r="F42" s="2505"/>
      <c r="G42" s="2505">
        <f t="shared" si="1"/>
        <v>0</v>
      </c>
      <c r="H42" s="2504"/>
      <c r="I42" s="2504"/>
      <c r="J42" s="2504"/>
      <c r="K42" s="2504"/>
      <c r="L42" s="2504"/>
      <c r="M42" s="2504"/>
      <c r="N42" s="2504"/>
      <c r="O42" s="2504"/>
      <c r="P42" s="2504"/>
      <c r="Q42" s="2511"/>
      <c r="R42" s="177"/>
    </row>
    <row r="43" spans="1:18" ht="24" customHeight="1">
      <c r="A43" s="2503" t="s">
        <v>1974</v>
      </c>
      <c r="B43" s="2510">
        <v>37</v>
      </c>
      <c r="C43" s="2504"/>
      <c r="D43" s="2504"/>
      <c r="E43" s="2505"/>
      <c r="F43" s="2505"/>
      <c r="G43" s="2505">
        <f t="shared" si="1"/>
        <v>0</v>
      </c>
      <c r="H43" s="2504"/>
      <c r="I43" s="2504"/>
      <c r="J43" s="2504"/>
      <c r="K43" s="2504"/>
      <c r="L43" s="2504"/>
      <c r="M43" s="2504"/>
      <c r="N43" s="2504"/>
      <c r="O43" s="2504"/>
      <c r="P43" s="2504"/>
      <c r="Q43" s="2511"/>
      <c r="R43" s="177"/>
    </row>
    <row r="44" spans="1:18" ht="24" customHeight="1">
      <c r="A44" s="2503" t="s">
        <v>1975</v>
      </c>
      <c r="B44" s="2510">
        <v>38</v>
      </c>
      <c r="C44" s="2504"/>
      <c r="D44" s="2504"/>
      <c r="E44" s="2505"/>
      <c r="F44" s="2505"/>
      <c r="G44" s="2505">
        <f t="shared" si="1"/>
        <v>0</v>
      </c>
      <c r="H44" s="2504"/>
      <c r="I44" s="2504"/>
      <c r="J44" s="2504"/>
      <c r="K44" s="2504"/>
      <c r="L44" s="2504"/>
      <c r="M44" s="2504"/>
      <c r="N44" s="2504"/>
      <c r="O44" s="2504"/>
      <c r="P44" s="2504"/>
      <c r="Q44" s="2511"/>
      <c r="R44" s="177"/>
    </row>
    <row r="45" spans="1:18">
      <c r="A45" s="2503" t="s">
        <v>1976</v>
      </c>
      <c r="B45" s="2510">
        <v>39</v>
      </c>
      <c r="C45" s="2504"/>
      <c r="D45" s="2504"/>
      <c r="E45" s="2505"/>
      <c r="F45" s="2505"/>
      <c r="G45" s="2505">
        <f t="shared" si="1"/>
        <v>0</v>
      </c>
      <c r="H45" s="2504"/>
      <c r="I45" s="2504"/>
      <c r="J45" s="2504"/>
      <c r="K45" s="2504"/>
      <c r="L45" s="2504"/>
      <c r="M45" s="2504"/>
      <c r="N45" s="2504"/>
      <c r="O45" s="2504"/>
      <c r="P45" s="2504"/>
      <c r="Q45" s="2511"/>
      <c r="R45" s="177"/>
    </row>
    <row r="46" spans="1:18" ht="25.5">
      <c r="A46" s="2503" t="s">
        <v>1977</v>
      </c>
      <c r="B46" s="2510" t="s">
        <v>1978</v>
      </c>
      <c r="C46" s="2504"/>
      <c r="D46" s="2504"/>
      <c r="E46" s="2505"/>
      <c r="F46" s="2505"/>
      <c r="G46" s="2505">
        <f t="shared" si="1"/>
        <v>0</v>
      </c>
      <c r="H46" s="2504"/>
      <c r="I46" s="2504"/>
      <c r="J46" s="2504"/>
      <c r="K46" s="2504"/>
      <c r="L46" s="2504"/>
      <c r="M46" s="2504"/>
      <c r="N46" s="2504"/>
      <c r="O46" s="2504"/>
      <c r="P46" s="2504"/>
      <c r="Q46" s="2511"/>
      <c r="R46" s="177"/>
    </row>
    <row r="47" spans="1:18" ht="38.25">
      <c r="A47" s="2503" t="s">
        <v>1979</v>
      </c>
      <c r="B47" s="2510" t="s">
        <v>1980</v>
      </c>
      <c r="C47" s="2504"/>
      <c r="D47" s="2504"/>
      <c r="E47" s="2505"/>
      <c r="F47" s="2505"/>
      <c r="G47" s="2505">
        <f t="shared" si="1"/>
        <v>0</v>
      </c>
      <c r="H47" s="2504"/>
      <c r="I47" s="2504"/>
      <c r="J47" s="2504"/>
      <c r="K47" s="2504"/>
      <c r="L47" s="2504"/>
      <c r="M47" s="2504"/>
      <c r="N47" s="2504"/>
      <c r="O47" s="2504"/>
      <c r="P47" s="2504"/>
      <c r="Q47" s="2511"/>
      <c r="R47" s="177"/>
    </row>
    <row r="48" spans="1:18" ht="22.5" customHeight="1">
      <c r="A48" s="2503" t="s">
        <v>1981</v>
      </c>
      <c r="B48" s="2510" t="s">
        <v>1982</v>
      </c>
      <c r="C48" s="2504"/>
      <c r="D48" s="2504"/>
      <c r="E48" s="2505"/>
      <c r="F48" s="2505"/>
      <c r="G48" s="2505">
        <f t="shared" si="1"/>
        <v>0</v>
      </c>
      <c r="H48" s="2504"/>
      <c r="I48" s="2504"/>
      <c r="J48" s="2504"/>
      <c r="K48" s="2504"/>
      <c r="L48" s="2504"/>
      <c r="M48" s="2504"/>
      <c r="N48" s="2504"/>
      <c r="O48" s="2504"/>
      <c r="P48" s="2504"/>
      <c r="Q48" s="2511"/>
      <c r="R48" s="177"/>
    </row>
    <row r="49" spans="1:31" ht="25.5">
      <c r="A49" s="2503" t="s">
        <v>1983</v>
      </c>
      <c r="B49" s="2510" t="s">
        <v>1984</v>
      </c>
      <c r="C49" s="2504"/>
      <c r="D49" s="2504"/>
      <c r="E49" s="2505"/>
      <c r="F49" s="2505"/>
      <c r="G49" s="2505">
        <f t="shared" si="1"/>
        <v>0</v>
      </c>
      <c r="H49" s="2504"/>
      <c r="I49" s="2504"/>
      <c r="J49" s="2504"/>
      <c r="K49" s="2504"/>
      <c r="L49" s="2504"/>
      <c r="M49" s="2504"/>
      <c r="N49" s="2504"/>
      <c r="O49" s="2504"/>
      <c r="P49" s="2504"/>
      <c r="Q49" s="2511"/>
      <c r="R49" s="177"/>
    </row>
    <row r="50" spans="1:31" ht="38.25">
      <c r="A50" s="2503" t="s">
        <v>1985</v>
      </c>
      <c r="B50" s="2510" t="s">
        <v>1986</v>
      </c>
      <c r="C50" s="2504"/>
      <c r="D50" s="2504"/>
      <c r="E50" s="2505"/>
      <c r="F50" s="2505"/>
      <c r="G50" s="2505">
        <f t="shared" si="1"/>
        <v>0</v>
      </c>
      <c r="H50" s="2504"/>
      <c r="I50" s="2504"/>
      <c r="J50" s="2504"/>
      <c r="K50" s="2504"/>
      <c r="L50" s="2504"/>
      <c r="M50" s="2504"/>
      <c r="N50" s="2504"/>
      <c r="O50" s="2504"/>
      <c r="P50" s="2504"/>
      <c r="Q50" s="2511"/>
      <c r="R50" s="177"/>
    </row>
    <row r="51" spans="1:31" ht="43.5" customHeight="1">
      <c r="A51" s="2503" t="s">
        <v>1987</v>
      </c>
      <c r="B51" s="2510" t="s">
        <v>1988</v>
      </c>
      <c r="C51" s="2504"/>
      <c r="D51" s="2504"/>
      <c r="E51" s="2505"/>
      <c r="F51" s="2505"/>
      <c r="G51" s="2505">
        <f t="shared" si="1"/>
        <v>0</v>
      </c>
      <c r="H51" s="2504"/>
      <c r="I51" s="2504"/>
      <c r="J51" s="2504"/>
      <c r="K51" s="2504"/>
      <c r="L51" s="2504"/>
      <c r="M51" s="2504"/>
      <c r="N51" s="2504"/>
      <c r="O51" s="2504"/>
      <c r="P51" s="2504"/>
      <c r="Q51" s="2511"/>
      <c r="R51" s="177"/>
    </row>
    <row r="52" spans="1:31" ht="43.5" customHeight="1">
      <c r="A52" s="2841" t="s">
        <v>2514</v>
      </c>
      <c r="B52" s="2842" t="s">
        <v>2515</v>
      </c>
      <c r="C52" s="2843"/>
      <c r="D52" s="2843"/>
      <c r="E52" s="2844"/>
      <c r="F52" s="2844"/>
      <c r="G52" s="2844"/>
      <c r="H52" s="2843"/>
      <c r="I52" s="2843"/>
      <c r="J52" s="2843"/>
      <c r="K52" s="2843"/>
      <c r="L52" s="2843"/>
      <c r="M52" s="2843"/>
      <c r="N52" s="2843"/>
      <c r="O52" s="2843"/>
      <c r="P52" s="2843"/>
      <c r="Q52" s="2845"/>
      <c r="R52" s="177"/>
    </row>
    <row r="53" spans="1:31" ht="25.5">
      <c r="A53" s="2841" t="s">
        <v>2516</v>
      </c>
      <c r="B53" s="2842">
        <v>40</v>
      </c>
      <c r="C53" s="2843"/>
      <c r="D53" s="2843"/>
      <c r="E53" s="2844"/>
      <c r="F53" s="2844"/>
      <c r="G53" s="2844"/>
      <c r="H53" s="2843"/>
      <c r="I53" s="2843"/>
      <c r="J53" s="2843"/>
      <c r="K53" s="2843"/>
      <c r="L53" s="2843"/>
      <c r="M53" s="2843"/>
      <c r="N53" s="2843"/>
      <c r="O53" s="2843"/>
      <c r="P53" s="2843"/>
      <c r="Q53" s="2845"/>
      <c r="R53" s="177"/>
    </row>
    <row r="54" spans="1:31" ht="18" customHeight="1">
      <c r="A54" s="2841" t="s">
        <v>2517</v>
      </c>
      <c r="B54" s="2842">
        <v>41</v>
      </c>
      <c r="C54" s="2843"/>
      <c r="D54" s="2843"/>
      <c r="E54" s="2844"/>
      <c r="F54" s="2844"/>
      <c r="G54" s="2844"/>
      <c r="H54" s="2843"/>
      <c r="I54" s="2843"/>
      <c r="J54" s="2843"/>
      <c r="K54" s="2843"/>
      <c r="L54" s="2843"/>
      <c r="M54" s="2843"/>
      <c r="N54" s="2843"/>
      <c r="O54" s="2843"/>
      <c r="P54" s="2843"/>
      <c r="Q54" s="2845"/>
      <c r="R54" s="177"/>
    </row>
    <row r="55" spans="1:31" ht="25.5">
      <c r="A55" s="2841" t="s">
        <v>2518</v>
      </c>
      <c r="B55" s="2842">
        <v>42</v>
      </c>
      <c r="C55" s="2843"/>
      <c r="D55" s="2843"/>
      <c r="E55" s="2844"/>
      <c r="F55" s="2844"/>
      <c r="G55" s="2844"/>
      <c r="H55" s="2843"/>
      <c r="I55" s="2843"/>
      <c r="J55" s="2843"/>
      <c r="K55" s="2843"/>
      <c r="L55" s="2843"/>
      <c r="M55" s="2843"/>
      <c r="N55" s="2843"/>
      <c r="O55" s="2843"/>
      <c r="P55" s="2843"/>
      <c r="Q55" s="2845"/>
      <c r="R55" s="177"/>
    </row>
    <row r="56" spans="1:31" ht="25.5">
      <c r="A56" s="2841" t="s">
        <v>2519</v>
      </c>
      <c r="B56" s="2842">
        <v>43</v>
      </c>
      <c r="C56" s="2843"/>
      <c r="D56" s="2843"/>
      <c r="E56" s="2844"/>
      <c r="F56" s="2844"/>
      <c r="G56" s="2844"/>
      <c r="H56" s="2843"/>
      <c r="I56" s="2843"/>
      <c r="J56" s="2843"/>
      <c r="K56" s="2843"/>
      <c r="L56" s="2843"/>
      <c r="M56" s="2843"/>
      <c r="N56" s="2843"/>
      <c r="O56" s="2843"/>
      <c r="P56" s="2843"/>
      <c r="Q56" s="2845"/>
      <c r="R56" s="177"/>
    </row>
    <row r="57" spans="1:31" ht="38.25">
      <c r="A57" s="2841" t="s">
        <v>2520</v>
      </c>
      <c r="B57" s="2842">
        <v>44</v>
      </c>
      <c r="C57" s="2843"/>
      <c r="D57" s="2843"/>
      <c r="E57" s="2844"/>
      <c r="F57" s="2844"/>
      <c r="G57" s="2844"/>
      <c r="H57" s="2843"/>
      <c r="I57" s="2843"/>
      <c r="J57" s="2843"/>
      <c r="K57" s="2843"/>
      <c r="L57" s="2843"/>
      <c r="M57" s="2843"/>
      <c r="N57" s="2843"/>
      <c r="O57" s="2843"/>
      <c r="P57" s="2843"/>
      <c r="Q57" s="2845"/>
      <c r="R57" s="177"/>
    </row>
    <row r="58" spans="1:31" ht="40.15" customHeight="1">
      <c r="A58" s="2855" t="s">
        <v>2521</v>
      </c>
      <c r="B58" s="2856">
        <v>45</v>
      </c>
      <c r="C58" s="2857"/>
      <c r="D58" s="2857"/>
      <c r="E58" s="2858"/>
      <c r="F58" s="2858"/>
      <c r="G58" s="2858"/>
      <c r="H58" s="2857"/>
      <c r="I58" s="2857"/>
      <c r="J58" s="2857"/>
      <c r="K58" s="2857"/>
      <c r="L58" s="2857"/>
      <c r="M58" s="2857"/>
      <c r="N58" s="2857"/>
      <c r="O58" s="2857"/>
      <c r="P58" s="2857"/>
      <c r="Q58" s="2859"/>
      <c r="R58" s="177"/>
    </row>
    <row r="59" spans="1:31" ht="43.5" customHeight="1">
      <c r="A59" s="2850" t="s">
        <v>2522</v>
      </c>
      <c r="B59" s="2851">
        <v>46</v>
      </c>
      <c r="C59" s="2852"/>
      <c r="D59" s="2852"/>
      <c r="E59" s="2853"/>
      <c r="F59" s="2853"/>
      <c r="G59" s="2853"/>
      <c r="H59" s="2852"/>
      <c r="I59" s="2852"/>
      <c r="J59" s="2852"/>
      <c r="K59" s="2852"/>
      <c r="L59" s="2852"/>
      <c r="M59" s="2852"/>
      <c r="N59" s="2852"/>
      <c r="O59" s="2852"/>
      <c r="P59" s="2852"/>
      <c r="Q59" s="2854"/>
      <c r="R59" s="177"/>
    </row>
    <row r="60" spans="1:31" ht="25.5">
      <c r="A60" s="2841" t="s">
        <v>2523</v>
      </c>
      <c r="B60" s="2842">
        <v>47</v>
      </c>
      <c r="C60" s="2843"/>
      <c r="D60" s="2843"/>
      <c r="E60" s="2844"/>
      <c r="F60" s="2844"/>
      <c r="G60" s="2844"/>
      <c r="H60" s="2843"/>
      <c r="I60" s="2843"/>
      <c r="J60" s="2843"/>
      <c r="K60" s="2843"/>
      <c r="L60" s="2843"/>
      <c r="M60" s="2843"/>
      <c r="N60" s="2843"/>
      <c r="O60" s="2843"/>
      <c r="P60" s="2843"/>
      <c r="Q60" s="2845"/>
      <c r="R60" s="177"/>
    </row>
    <row r="61" spans="1:31" ht="25.5">
      <c r="A61" s="2841" t="s">
        <v>2524</v>
      </c>
      <c r="B61" s="2842">
        <v>48</v>
      </c>
      <c r="C61" s="2843"/>
      <c r="D61" s="2843"/>
      <c r="E61" s="2844"/>
      <c r="F61" s="2844"/>
      <c r="G61" s="2844"/>
      <c r="H61" s="2843"/>
      <c r="I61" s="2843"/>
      <c r="J61" s="2843"/>
      <c r="K61" s="2843"/>
      <c r="L61" s="2843"/>
      <c r="M61" s="2843"/>
      <c r="N61" s="2843"/>
      <c r="O61" s="2843"/>
      <c r="P61" s="2843"/>
      <c r="Q61" s="2845"/>
      <c r="R61" s="177"/>
    </row>
    <row r="62" spans="1:31" ht="43.5" customHeight="1">
      <c r="A62" s="2841" t="s">
        <v>2525</v>
      </c>
      <c r="B62" s="2842">
        <v>49</v>
      </c>
      <c r="C62" s="2843"/>
      <c r="D62" s="2843"/>
      <c r="E62" s="2844"/>
      <c r="F62" s="2844"/>
      <c r="G62" s="2844"/>
      <c r="H62" s="2843"/>
      <c r="I62" s="2843"/>
      <c r="J62" s="2843"/>
      <c r="K62" s="2843"/>
      <c r="L62" s="2843"/>
      <c r="M62" s="2843"/>
      <c r="N62" s="2843"/>
      <c r="O62" s="2843"/>
      <c r="P62" s="2843"/>
      <c r="Q62" s="2845"/>
      <c r="R62" s="177"/>
    </row>
    <row r="63" spans="1:31" ht="25.5">
      <c r="A63" s="2841" t="s">
        <v>2526</v>
      </c>
      <c r="B63" s="2842">
        <v>50</v>
      </c>
      <c r="C63" s="2843"/>
      <c r="D63" s="2843"/>
      <c r="E63" s="2844"/>
      <c r="F63" s="2844"/>
      <c r="G63" s="2844"/>
      <c r="H63" s="2843"/>
      <c r="I63" s="2843"/>
      <c r="J63" s="2843"/>
      <c r="K63" s="2843"/>
      <c r="L63" s="2843"/>
      <c r="M63" s="2843"/>
      <c r="N63" s="2843"/>
      <c r="O63" s="2843"/>
      <c r="P63" s="2843"/>
      <c r="Q63" s="2845"/>
      <c r="R63" s="177"/>
    </row>
    <row r="64" spans="1:31" s="1767" customFormat="1" ht="22.9" customHeight="1">
      <c r="A64" s="2516" t="s">
        <v>2527</v>
      </c>
      <c r="B64" s="2517">
        <v>99</v>
      </c>
      <c r="C64" s="2974">
        <f>SUM(C8:C63)</f>
        <v>0</v>
      </c>
      <c r="D64" s="2974">
        <f t="shared" ref="D64:P64" si="2">SUM(D8:D63)</f>
        <v>0</v>
      </c>
      <c r="E64" s="2974">
        <f t="shared" si="2"/>
        <v>0</v>
      </c>
      <c r="F64" s="2518">
        <f t="shared" si="2"/>
        <v>0</v>
      </c>
      <c r="G64" s="2518">
        <f t="shared" si="2"/>
        <v>0</v>
      </c>
      <c r="H64" s="2518">
        <f t="shared" si="2"/>
        <v>0</v>
      </c>
      <c r="I64" s="2518">
        <f t="shared" si="2"/>
        <v>0</v>
      </c>
      <c r="J64" s="2518">
        <f t="shared" si="2"/>
        <v>0</v>
      </c>
      <c r="K64" s="2518">
        <f t="shared" si="2"/>
        <v>0</v>
      </c>
      <c r="L64" s="2518">
        <f t="shared" si="2"/>
        <v>0</v>
      </c>
      <c r="M64" s="2518">
        <f t="shared" si="2"/>
        <v>0</v>
      </c>
      <c r="N64" s="2518">
        <f t="shared" si="2"/>
        <v>0</v>
      </c>
      <c r="O64" s="2518">
        <f t="shared" si="2"/>
        <v>0</v>
      </c>
      <c r="P64" s="2518">
        <f t="shared" si="2"/>
        <v>0</v>
      </c>
      <c r="Q64" s="2519">
        <f>SUM(Q8:Q63)</f>
        <v>0</v>
      </c>
      <c r="R64" s="1764"/>
      <c r="S64" s="1765"/>
      <c r="T64" s="1766"/>
      <c r="U64" s="1765"/>
      <c r="V64" s="1765"/>
      <c r="W64" s="1765"/>
      <c r="X64" s="1765"/>
      <c r="Y64" s="1765"/>
      <c r="Z64" s="1765"/>
      <c r="AA64" s="1765"/>
      <c r="AB64" s="1765"/>
      <c r="AC64" s="1765"/>
      <c r="AD64" s="1765"/>
      <c r="AE64" s="1765"/>
    </row>
    <row r="65" spans="1:31" ht="28.5" customHeight="1">
      <c r="A65" s="178"/>
      <c r="B65" s="179"/>
      <c r="C65" s="163"/>
      <c r="D65" s="163"/>
      <c r="E65" s="163"/>
      <c r="F65" s="163"/>
      <c r="G65" s="163"/>
      <c r="H65" s="163"/>
      <c r="I65" s="163"/>
      <c r="J65" s="163"/>
      <c r="K65" s="163"/>
      <c r="L65" s="163"/>
      <c r="M65" s="163"/>
      <c r="N65" s="163"/>
      <c r="O65" s="163"/>
      <c r="P65" s="163"/>
      <c r="Q65" s="180"/>
      <c r="R65" s="162"/>
    </row>
    <row r="66" spans="1:31" s="188" customFormat="1" ht="26.25" customHeight="1">
      <c r="A66" s="181"/>
      <c r="B66" s="182"/>
      <c r="C66" s="183"/>
      <c r="D66" s="183"/>
      <c r="E66" s="183"/>
      <c r="F66" s="183"/>
      <c r="G66" s="183"/>
      <c r="H66" s="183"/>
      <c r="I66" s="183"/>
      <c r="J66" s="183"/>
      <c r="K66" s="183"/>
      <c r="L66" s="183"/>
      <c r="M66" s="183"/>
      <c r="N66" s="183"/>
      <c r="O66" s="183"/>
      <c r="P66" s="183"/>
      <c r="Q66" s="184"/>
      <c r="R66" s="185"/>
      <c r="S66" s="186"/>
      <c r="T66" s="187"/>
      <c r="U66" s="186"/>
      <c r="V66" s="186"/>
      <c r="W66" s="186"/>
      <c r="X66" s="186"/>
      <c r="Y66" s="186"/>
      <c r="Z66" s="186"/>
      <c r="AA66" s="186"/>
      <c r="AB66" s="186"/>
      <c r="AC66" s="186"/>
      <c r="AD66" s="186"/>
      <c r="AE66" s="186"/>
    </row>
    <row r="67" spans="1:31" s="188" customFormat="1" ht="27.75" customHeight="1">
      <c r="A67" s="189"/>
      <c r="B67" s="182"/>
      <c r="C67" s="183"/>
      <c r="D67" s="183"/>
      <c r="E67" s="190"/>
      <c r="F67" s="190"/>
      <c r="G67" s="190"/>
      <c r="H67" s="190"/>
      <c r="I67" s="190"/>
      <c r="J67" s="190"/>
      <c r="K67" s="190"/>
      <c r="P67" s="183"/>
      <c r="Q67" s="184"/>
      <c r="R67" s="185"/>
      <c r="S67" s="186"/>
      <c r="T67" s="187"/>
      <c r="U67" s="186"/>
      <c r="V67" s="186"/>
      <c r="W67" s="186"/>
      <c r="X67" s="186"/>
      <c r="Y67" s="186"/>
      <c r="Z67" s="186"/>
      <c r="AA67" s="186"/>
      <c r="AB67" s="186"/>
      <c r="AC67" s="186"/>
      <c r="AD67" s="186"/>
      <c r="AE67" s="186"/>
    </row>
    <row r="68" spans="1:31" s="188" customFormat="1" ht="18.75" customHeight="1">
      <c r="A68" s="4039" t="str">
        <f>'ANEXA 1'!B94</f>
        <v>DIRECTOR  GENERAL,</v>
      </c>
      <c r="B68" s="4039"/>
      <c r="C68" s="4039"/>
      <c r="D68" s="4039"/>
      <c r="F68" s="1588"/>
      <c r="G68" s="1588"/>
      <c r="H68" s="1588"/>
      <c r="I68" s="4043" t="str">
        <f>'ANEXA 1'!D94</f>
        <v>DIRECTOR  EXECUTIV  ECONOMIC,</v>
      </c>
      <c r="J68" s="4043"/>
      <c r="K68" s="4043"/>
      <c r="L68" s="4043"/>
      <c r="M68" s="4043"/>
      <c r="N68" s="4043"/>
      <c r="O68" s="191"/>
      <c r="P68" s="183"/>
      <c r="Q68" s="185"/>
      <c r="R68" s="185"/>
      <c r="S68" s="185"/>
      <c r="T68" s="183"/>
      <c r="U68" s="185"/>
      <c r="V68" s="185"/>
      <c r="W68" s="186"/>
      <c r="X68" s="186"/>
      <c r="Y68" s="186"/>
      <c r="Z68" s="186"/>
      <c r="AA68" s="186"/>
      <c r="AB68" s="186"/>
      <c r="AC68" s="186"/>
      <c r="AD68" s="186"/>
      <c r="AE68" s="186"/>
    </row>
    <row r="69" spans="1:31" s="924" customFormat="1" ht="15">
      <c r="A69" s="162"/>
      <c r="B69" s="1764"/>
      <c r="C69" s="163"/>
      <c r="D69" s="163"/>
      <c r="E69" s="959"/>
      <c r="F69" s="959"/>
      <c r="G69" s="959"/>
      <c r="H69" s="959"/>
      <c r="I69" s="1867"/>
      <c r="J69" s="1867"/>
      <c r="K69" s="1867"/>
      <c r="L69" s="1867"/>
      <c r="M69" s="1867"/>
      <c r="N69" s="1867"/>
      <c r="O69" s="163"/>
      <c r="P69" s="163"/>
      <c r="Q69" s="162"/>
      <c r="R69" s="162"/>
      <c r="S69" s="162"/>
      <c r="T69" s="163"/>
      <c r="U69" s="162"/>
      <c r="V69" s="162"/>
      <c r="W69" s="162"/>
      <c r="X69" s="162"/>
      <c r="Y69" s="162"/>
      <c r="Z69" s="162"/>
      <c r="AA69" s="162"/>
      <c r="AB69" s="162"/>
      <c r="AC69" s="162"/>
      <c r="AD69" s="162"/>
      <c r="AE69" s="162"/>
    </row>
    <row r="70" spans="1:31" s="924" customFormat="1" ht="15.75">
      <c r="A70" s="4040" t="str">
        <f>'ANEXA 1'!B96</f>
        <v>EC.ALBU DRINA</v>
      </c>
      <c r="B70" s="4040"/>
      <c r="C70" s="4040"/>
      <c r="D70" s="4040"/>
      <c r="F70" s="1589"/>
      <c r="G70" s="1589"/>
      <c r="H70" s="1589"/>
      <c r="I70" s="4044" t="str">
        <f>'ANEXA 1'!D96</f>
        <v>EC.BIRCU FLORINA</v>
      </c>
      <c r="J70" s="4044"/>
      <c r="K70" s="4044"/>
      <c r="L70" s="4044"/>
      <c r="M70" s="4044"/>
      <c r="N70" s="4044"/>
      <c r="O70" s="163"/>
      <c r="P70" s="163"/>
      <c r="Q70" s="162"/>
      <c r="R70" s="162"/>
      <c r="S70" s="162"/>
      <c r="T70" s="163"/>
      <c r="U70" s="162"/>
      <c r="V70" s="162"/>
      <c r="W70" s="162"/>
      <c r="X70" s="162"/>
      <c r="Y70" s="162"/>
      <c r="Z70" s="162"/>
      <c r="AA70" s="162"/>
      <c r="AB70" s="162"/>
      <c r="AC70" s="162"/>
      <c r="AD70" s="162"/>
      <c r="AE70" s="162"/>
    </row>
    <row r="71" spans="1:31" s="924" customFormat="1" ht="15.75" customHeight="1">
      <c r="A71" s="4046">
        <f>'ANEXA 1'!B97</f>
        <v>0</v>
      </c>
      <c r="B71" s="4046"/>
      <c r="C71" s="4046"/>
      <c r="D71" s="4046"/>
      <c r="E71" s="163"/>
      <c r="F71" s="163"/>
      <c r="G71" s="163"/>
      <c r="H71" s="163"/>
      <c r="I71" s="163"/>
      <c r="J71" s="163"/>
      <c r="K71" s="163"/>
      <c r="L71" s="163"/>
      <c r="M71" s="163"/>
      <c r="N71" s="163"/>
      <c r="O71" s="163"/>
      <c r="P71" s="163"/>
      <c r="Q71" s="162"/>
      <c r="R71" s="162"/>
      <c r="S71" s="162"/>
      <c r="T71" s="163"/>
      <c r="U71" s="162"/>
      <c r="V71" s="162"/>
      <c r="W71" s="162"/>
      <c r="X71" s="162"/>
      <c r="Y71" s="162"/>
      <c r="Z71" s="162"/>
      <c r="AA71" s="162"/>
      <c r="AB71" s="162"/>
      <c r="AC71" s="162"/>
      <c r="AD71" s="162"/>
      <c r="AE71" s="162"/>
    </row>
    <row r="72" spans="1:31" s="924" customFormat="1">
      <c r="A72" s="162"/>
      <c r="B72" s="1764"/>
      <c r="C72" s="163"/>
      <c r="D72" s="163"/>
      <c r="E72" s="163"/>
      <c r="F72" s="163"/>
      <c r="G72" s="163"/>
      <c r="H72" s="163"/>
      <c r="I72" s="163"/>
      <c r="J72" s="163"/>
      <c r="K72" s="163"/>
      <c r="P72" s="163"/>
      <c r="Q72" s="162"/>
      <c r="R72" s="162"/>
      <c r="S72" s="162"/>
      <c r="T72" s="163"/>
      <c r="U72" s="162"/>
      <c r="V72" s="162"/>
      <c r="W72" s="162"/>
      <c r="X72" s="162"/>
      <c r="Y72" s="162"/>
      <c r="Z72" s="162"/>
      <c r="AA72" s="162"/>
      <c r="AB72" s="162"/>
      <c r="AC72" s="162"/>
      <c r="AD72" s="162"/>
      <c r="AE72" s="162"/>
    </row>
    <row r="73" spans="1:31" s="924" customFormat="1" ht="15">
      <c r="A73" s="4041">
        <f>+'ANEXA 1'!B99</f>
        <v>0</v>
      </c>
      <c r="B73" s="4042"/>
      <c r="C73" s="4042"/>
      <c r="D73" s="4042"/>
      <c r="E73" s="163"/>
      <c r="F73" s="163"/>
      <c r="G73" s="163"/>
      <c r="H73" s="163"/>
      <c r="I73" s="4045">
        <f>'ANEXA 1'!D99</f>
        <v>0</v>
      </c>
      <c r="J73" s="4045"/>
      <c r="K73" s="4045"/>
      <c r="L73" s="4045"/>
      <c r="M73" s="4045"/>
      <c r="N73" s="4045"/>
      <c r="O73" s="1590"/>
      <c r="P73" s="163"/>
      <c r="Q73" s="162"/>
      <c r="R73" s="162"/>
      <c r="S73" s="162"/>
      <c r="T73" s="163"/>
      <c r="U73" s="162"/>
      <c r="V73" s="162"/>
      <c r="W73" s="162"/>
      <c r="X73" s="162"/>
      <c r="Y73" s="162"/>
      <c r="Z73" s="162"/>
      <c r="AA73" s="162"/>
      <c r="AB73" s="162"/>
      <c r="AC73" s="162"/>
      <c r="AD73" s="162"/>
      <c r="AE73" s="162"/>
    </row>
    <row r="74" spans="1:31" s="924" customFormat="1" ht="15">
      <c r="A74" s="1591"/>
      <c r="B74" s="2848"/>
      <c r="C74" s="1592"/>
      <c r="D74" s="1592"/>
      <c r="E74" s="163"/>
      <c r="F74" s="163"/>
      <c r="G74" s="163"/>
      <c r="H74" s="163"/>
      <c r="I74" s="163"/>
      <c r="J74" s="163"/>
      <c r="K74" s="163"/>
      <c r="P74" s="163"/>
      <c r="Q74" s="162"/>
      <c r="R74" s="162"/>
      <c r="S74" s="162"/>
      <c r="T74" s="163"/>
      <c r="U74" s="162"/>
      <c r="V74" s="162"/>
      <c r="W74" s="162"/>
      <c r="X74" s="162"/>
      <c r="Y74" s="162"/>
      <c r="Z74" s="162"/>
      <c r="AA74" s="162"/>
      <c r="AB74" s="162"/>
      <c r="AC74" s="162"/>
      <c r="AD74" s="162"/>
      <c r="AE74" s="162"/>
    </row>
    <row r="75" spans="1:31" s="924" customFormat="1" ht="15">
      <c r="A75" s="4042">
        <f>+'ANEXA 1'!B101</f>
        <v>0</v>
      </c>
      <c r="B75" s="4042"/>
      <c r="C75" s="4042"/>
      <c r="D75" s="4042"/>
      <c r="E75" s="163"/>
      <c r="F75" s="163"/>
      <c r="G75" s="163"/>
      <c r="H75" s="163"/>
      <c r="I75" s="4045">
        <f>'ANEXA 1'!D101</f>
        <v>0</v>
      </c>
      <c r="J75" s="4045"/>
      <c r="K75" s="4045"/>
      <c r="L75" s="4045"/>
      <c r="M75" s="4045"/>
      <c r="N75" s="4045"/>
      <c r="O75" s="1590"/>
      <c r="P75" s="163"/>
      <c r="Q75" s="162"/>
      <c r="R75" s="162"/>
      <c r="S75" s="162"/>
      <c r="T75" s="163"/>
      <c r="U75" s="162"/>
      <c r="V75" s="162"/>
      <c r="W75" s="162"/>
      <c r="X75" s="162"/>
      <c r="Y75" s="162"/>
      <c r="Z75" s="162"/>
      <c r="AA75" s="162"/>
      <c r="AB75" s="162"/>
      <c r="AC75" s="162"/>
      <c r="AD75" s="162"/>
      <c r="AE75" s="162"/>
    </row>
    <row r="76" spans="1:31" s="924" customFormat="1">
      <c r="A76" s="162"/>
      <c r="B76" s="1764"/>
      <c r="C76" s="163"/>
      <c r="D76" s="163"/>
      <c r="E76" s="163"/>
      <c r="F76" s="163"/>
      <c r="G76" s="163"/>
      <c r="H76" s="163"/>
      <c r="I76" s="163"/>
      <c r="J76" s="163"/>
      <c r="K76" s="163"/>
      <c r="L76" s="163"/>
      <c r="M76" s="163"/>
      <c r="N76" s="1054"/>
      <c r="O76" s="1054"/>
      <c r="P76" s="163"/>
      <c r="Q76" s="162"/>
      <c r="R76" s="162"/>
      <c r="S76" s="162"/>
      <c r="T76" s="163"/>
      <c r="U76" s="162"/>
      <c r="V76" s="162"/>
      <c r="W76" s="162"/>
      <c r="X76" s="162"/>
      <c r="Y76" s="162"/>
      <c r="Z76" s="162"/>
      <c r="AA76" s="162"/>
      <c r="AB76" s="162"/>
      <c r="AC76" s="162"/>
      <c r="AD76" s="162"/>
      <c r="AE76" s="162"/>
    </row>
    <row r="77" spans="1:31" s="924" customFormat="1">
      <c r="A77" s="162"/>
      <c r="B77" s="1764"/>
      <c r="C77" s="163"/>
      <c r="D77" s="163"/>
      <c r="E77" s="163"/>
      <c r="F77" s="163"/>
      <c r="G77" s="163"/>
      <c r="H77" s="163"/>
      <c r="I77" s="163"/>
      <c r="J77" s="163"/>
      <c r="K77" s="163"/>
      <c r="L77" s="163"/>
      <c r="M77" s="163"/>
      <c r="N77" s="1059"/>
      <c r="O77" s="1059"/>
      <c r="P77" s="163"/>
      <c r="Q77" s="162"/>
      <c r="R77" s="162"/>
      <c r="S77" s="162"/>
      <c r="T77" s="163"/>
      <c r="U77" s="162"/>
      <c r="V77" s="162"/>
      <c r="W77" s="162"/>
      <c r="X77" s="162"/>
      <c r="Y77" s="162"/>
      <c r="Z77" s="162"/>
      <c r="AA77" s="162"/>
      <c r="AB77" s="162"/>
      <c r="AC77" s="162"/>
      <c r="AD77" s="162"/>
      <c r="AE77" s="162"/>
    </row>
    <row r="78" spans="1:31" s="924" customFormat="1">
      <c r="A78" s="162"/>
      <c r="B78" s="1764"/>
      <c r="C78" s="163"/>
      <c r="D78" s="163"/>
      <c r="E78" s="163"/>
      <c r="F78" s="163"/>
      <c r="G78" s="163"/>
      <c r="H78" s="163"/>
      <c r="I78" s="163"/>
      <c r="J78" s="163"/>
      <c r="K78" s="163"/>
      <c r="L78" s="163"/>
      <c r="M78" s="163"/>
      <c r="N78" s="163"/>
      <c r="O78" s="163"/>
      <c r="P78" s="163"/>
      <c r="Q78" s="162"/>
      <c r="R78" s="162"/>
      <c r="S78" s="162"/>
      <c r="T78" s="163"/>
      <c r="U78" s="162"/>
      <c r="V78" s="162"/>
      <c r="W78" s="162"/>
      <c r="X78" s="162"/>
      <c r="Y78" s="162"/>
      <c r="Z78" s="162"/>
      <c r="AA78" s="162"/>
      <c r="AB78" s="162"/>
      <c r="AC78" s="162"/>
      <c r="AD78" s="162"/>
      <c r="AE78" s="162"/>
    </row>
    <row r="79" spans="1:31" s="924" customFormat="1">
      <c r="A79" s="162"/>
      <c r="B79" s="1764"/>
      <c r="C79" s="163"/>
      <c r="D79" s="163"/>
      <c r="E79" s="163"/>
      <c r="F79" s="163"/>
      <c r="G79" s="163"/>
      <c r="H79" s="163"/>
      <c r="I79" s="163"/>
      <c r="J79" s="163"/>
      <c r="K79" s="163"/>
      <c r="L79" s="163"/>
      <c r="M79" s="163"/>
      <c r="N79" s="163"/>
      <c r="O79" s="163"/>
      <c r="P79" s="163"/>
      <c r="Q79" s="162"/>
      <c r="R79" s="162"/>
      <c r="S79" s="162"/>
      <c r="T79" s="163"/>
      <c r="U79" s="162"/>
      <c r="V79" s="162"/>
      <c r="W79" s="162"/>
      <c r="X79" s="162"/>
      <c r="Y79" s="162"/>
      <c r="Z79" s="162"/>
      <c r="AA79" s="162"/>
      <c r="AB79" s="162"/>
      <c r="AC79" s="162"/>
      <c r="AD79" s="162"/>
      <c r="AE79" s="162"/>
    </row>
    <row r="80" spans="1:31" s="924" customFormat="1">
      <c r="A80" s="162"/>
      <c r="B80" s="1764"/>
      <c r="C80" s="163"/>
      <c r="D80" s="163"/>
      <c r="E80" s="163"/>
      <c r="F80" s="163"/>
      <c r="G80" s="163"/>
      <c r="H80" s="163"/>
      <c r="I80" s="163"/>
      <c r="J80" s="163"/>
      <c r="K80" s="163"/>
      <c r="L80" s="163"/>
      <c r="M80" s="163"/>
      <c r="N80" s="163"/>
      <c r="O80" s="163"/>
      <c r="P80" s="163"/>
      <c r="Q80" s="162"/>
      <c r="R80" s="162"/>
      <c r="S80" s="162"/>
      <c r="T80" s="163"/>
      <c r="U80" s="162"/>
      <c r="V80" s="162"/>
      <c r="W80" s="162"/>
      <c r="X80" s="162"/>
      <c r="Y80" s="162"/>
      <c r="Z80" s="162"/>
      <c r="AA80" s="162"/>
      <c r="AB80" s="162"/>
      <c r="AC80" s="162"/>
      <c r="AD80" s="162"/>
      <c r="AE80" s="162"/>
    </row>
    <row r="81" spans="1:31" s="924" customFormat="1">
      <c r="A81" s="162"/>
      <c r="B81" s="1764"/>
      <c r="C81" s="163"/>
      <c r="D81" s="163"/>
      <c r="E81" s="163"/>
      <c r="F81" s="163"/>
      <c r="G81" s="163"/>
      <c r="H81" s="163"/>
      <c r="I81" s="163"/>
      <c r="J81" s="163"/>
      <c r="K81" s="163"/>
      <c r="L81" s="163"/>
      <c r="M81" s="163"/>
      <c r="N81" s="163"/>
      <c r="O81" s="163"/>
      <c r="P81" s="163"/>
      <c r="Q81" s="162"/>
      <c r="R81" s="162"/>
      <c r="S81" s="162"/>
      <c r="T81" s="163"/>
      <c r="U81" s="162"/>
      <c r="V81" s="162"/>
      <c r="W81" s="162"/>
      <c r="X81" s="162"/>
      <c r="Y81" s="162"/>
      <c r="Z81" s="162"/>
      <c r="AA81" s="162"/>
      <c r="AB81" s="162"/>
      <c r="AC81" s="162"/>
      <c r="AD81" s="162"/>
      <c r="AE81" s="162"/>
    </row>
    <row r="82" spans="1:31" s="924" customFormat="1">
      <c r="A82" s="162"/>
      <c r="B82" s="1764"/>
      <c r="C82" s="163"/>
      <c r="D82" s="163"/>
      <c r="E82" s="163"/>
      <c r="F82" s="163"/>
      <c r="G82" s="163"/>
      <c r="H82" s="163"/>
      <c r="I82" s="163"/>
      <c r="J82" s="163"/>
      <c r="K82" s="163"/>
      <c r="L82" s="163"/>
      <c r="M82" s="163"/>
      <c r="N82" s="163"/>
      <c r="O82" s="163"/>
      <c r="P82" s="163"/>
      <c r="Q82" s="162"/>
      <c r="R82" s="162"/>
      <c r="S82" s="162"/>
      <c r="T82" s="163"/>
      <c r="U82" s="162"/>
      <c r="V82" s="162"/>
      <c r="W82" s="162"/>
      <c r="X82" s="162"/>
      <c r="Y82" s="162"/>
      <c r="Z82" s="162"/>
      <c r="AA82" s="162"/>
      <c r="AB82" s="162"/>
      <c r="AC82" s="162"/>
      <c r="AD82" s="162"/>
      <c r="AE82" s="162"/>
    </row>
    <row r="83" spans="1:31" s="924" customFormat="1">
      <c r="A83" s="162"/>
      <c r="B83" s="1764"/>
      <c r="C83" s="163"/>
      <c r="D83" s="163"/>
      <c r="E83" s="163"/>
      <c r="F83" s="163"/>
      <c r="G83" s="163"/>
      <c r="H83" s="163"/>
      <c r="I83" s="163"/>
      <c r="J83" s="163"/>
      <c r="K83" s="163"/>
      <c r="L83" s="163"/>
      <c r="M83" s="163"/>
      <c r="N83" s="163"/>
      <c r="O83" s="163"/>
      <c r="P83" s="163"/>
      <c r="Q83" s="162"/>
      <c r="R83" s="162"/>
      <c r="S83" s="162"/>
      <c r="T83" s="163"/>
      <c r="U83" s="162"/>
      <c r="V83" s="162"/>
      <c r="W83" s="162"/>
      <c r="X83" s="162"/>
      <c r="Y83" s="162"/>
      <c r="Z83" s="162"/>
      <c r="AA83" s="162"/>
      <c r="AB83" s="162"/>
      <c r="AC83" s="162"/>
      <c r="AD83" s="162"/>
      <c r="AE83" s="162"/>
    </row>
    <row r="84" spans="1:31" s="924" customFormat="1">
      <c r="A84" s="162"/>
      <c r="B84" s="1764"/>
      <c r="C84" s="163"/>
      <c r="D84" s="163"/>
      <c r="E84" s="163"/>
      <c r="F84" s="163"/>
      <c r="G84" s="163"/>
      <c r="H84" s="163"/>
      <c r="I84" s="163"/>
      <c r="J84" s="163"/>
      <c r="K84" s="163"/>
      <c r="L84" s="163"/>
      <c r="M84" s="163"/>
      <c r="N84" s="163"/>
      <c r="O84" s="163"/>
      <c r="P84" s="163"/>
      <c r="Q84" s="162"/>
      <c r="R84" s="162"/>
      <c r="S84" s="162"/>
      <c r="T84" s="163"/>
      <c r="U84" s="162"/>
      <c r="V84" s="162"/>
      <c r="W84" s="162"/>
      <c r="X84" s="162"/>
      <c r="Y84" s="162"/>
      <c r="Z84" s="162"/>
      <c r="AA84" s="162"/>
      <c r="AB84" s="162"/>
      <c r="AC84" s="162"/>
      <c r="AD84" s="162"/>
      <c r="AE84" s="162"/>
    </row>
    <row r="85" spans="1:31" s="924" customFormat="1">
      <c r="A85" s="162"/>
      <c r="B85" s="1764"/>
      <c r="C85" s="163"/>
      <c r="D85" s="163"/>
      <c r="E85" s="163"/>
      <c r="F85" s="163"/>
      <c r="G85" s="163"/>
      <c r="H85" s="163"/>
      <c r="I85" s="163"/>
      <c r="J85" s="163"/>
      <c r="K85" s="163"/>
      <c r="L85" s="163"/>
      <c r="M85" s="163"/>
      <c r="N85" s="163"/>
      <c r="O85" s="163"/>
      <c r="P85" s="163"/>
      <c r="Q85" s="162"/>
      <c r="R85" s="162"/>
      <c r="S85" s="162"/>
      <c r="T85" s="163"/>
      <c r="U85" s="162"/>
      <c r="V85" s="162"/>
      <c r="W85" s="162"/>
      <c r="X85" s="162"/>
      <c r="Y85" s="162"/>
      <c r="Z85" s="162"/>
      <c r="AA85" s="162"/>
      <c r="AB85" s="162"/>
      <c r="AC85" s="162"/>
      <c r="AD85" s="162"/>
      <c r="AE85" s="162"/>
    </row>
    <row r="86" spans="1:31" s="924" customFormat="1">
      <c r="A86" s="162"/>
      <c r="B86" s="1764"/>
      <c r="C86" s="163"/>
      <c r="D86" s="163"/>
      <c r="E86" s="163"/>
      <c r="F86" s="163"/>
      <c r="G86" s="163"/>
      <c r="H86" s="163"/>
      <c r="I86" s="163"/>
      <c r="J86" s="163"/>
      <c r="K86" s="163"/>
      <c r="L86" s="163"/>
      <c r="M86" s="163"/>
      <c r="N86" s="163"/>
      <c r="O86" s="163"/>
      <c r="P86" s="163"/>
      <c r="Q86" s="162"/>
      <c r="R86" s="162"/>
      <c r="S86" s="162"/>
      <c r="T86" s="163"/>
      <c r="U86" s="162"/>
      <c r="V86" s="162"/>
      <c r="W86" s="162"/>
      <c r="X86" s="162"/>
      <c r="Y86" s="162"/>
      <c r="Z86" s="162"/>
      <c r="AA86" s="162"/>
      <c r="AB86" s="162"/>
      <c r="AC86" s="162"/>
      <c r="AD86" s="162"/>
      <c r="AE86" s="162"/>
    </row>
    <row r="87" spans="1:31" s="924" customFormat="1">
      <c r="A87" s="162"/>
      <c r="B87" s="1764"/>
      <c r="C87" s="163"/>
      <c r="D87" s="163"/>
      <c r="E87" s="163"/>
      <c r="F87" s="163"/>
      <c r="G87" s="163"/>
      <c r="H87" s="163"/>
      <c r="I87" s="163"/>
      <c r="J87" s="163"/>
      <c r="K87" s="163"/>
      <c r="L87" s="163"/>
      <c r="M87" s="163"/>
      <c r="N87" s="163"/>
      <c r="O87" s="163"/>
      <c r="P87" s="163"/>
      <c r="Q87" s="162"/>
      <c r="R87" s="162"/>
      <c r="S87" s="162"/>
      <c r="T87" s="163"/>
      <c r="U87" s="162"/>
      <c r="V87" s="162"/>
      <c r="W87" s="162"/>
      <c r="X87" s="162"/>
      <c r="Y87" s="162"/>
      <c r="Z87" s="162"/>
      <c r="AA87" s="162"/>
      <c r="AB87" s="162"/>
      <c r="AC87" s="162"/>
      <c r="AD87" s="162"/>
      <c r="AE87" s="162"/>
    </row>
    <row r="88" spans="1:31" s="924" customFormat="1">
      <c r="A88" s="162"/>
      <c r="B88" s="1764"/>
      <c r="C88" s="163"/>
      <c r="D88" s="163"/>
      <c r="E88" s="163"/>
      <c r="F88" s="163"/>
      <c r="G88" s="163"/>
      <c r="H88" s="163"/>
      <c r="I88" s="163"/>
      <c r="J88" s="163"/>
      <c r="K88" s="163"/>
      <c r="L88" s="163"/>
      <c r="M88" s="163"/>
      <c r="N88" s="163"/>
      <c r="O88" s="163"/>
      <c r="P88" s="163"/>
      <c r="Q88" s="162"/>
      <c r="R88" s="162"/>
      <c r="S88" s="162"/>
      <c r="T88" s="163"/>
      <c r="U88" s="162"/>
      <c r="V88" s="162"/>
      <c r="W88" s="162"/>
      <c r="X88" s="162"/>
      <c r="Y88" s="162"/>
      <c r="Z88" s="162"/>
      <c r="AA88" s="162"/>
      <c r="AB88" s="162"/>
      <c r="AC88" s="162"/>
      <c r="AD88" s="162"/>
      <c r="AE88" s="162"/>
    </row>
    <row r="89" spans="1:31" s="924" customFormat="1">
      <c r="A89" s="162"/>
      <c r="B89" s="1764"/>
      <c r="C89" s="163"/>
      <c r="D89" s="163"/>
      <c r="E89" s="163"/>
      <c r="F89" s="163"/>
      <c r="G89" s="163"/>
      <c r="H89" s="163"/>
      <c r="I89" s="163"/>
      <c r="J89" s="163"/>
      <c r="K89" s="163"/>
      <c r="L89" s="163"/>
      <c r="M89" s="163"/>
      <c r="N89" s="163"/>
      <c r="O89" s="163"/>
      <c r="P89" s="163"/>
      <c r="Q89" s="162"/>
      <c r="R89" s="162"/>
      <c r="S89" s="162"/>
      <c r="T89" s="163"/>
      <c r="U89" s="162"/>
      <c r="V89" s="162"/>
      <c r="W89" s="162"/>
      <c r="X89" s="162"/>
      <c r="Y89" s="162"/>
      <c r="Z89" s="162"/>
      <c r="AA89" s="162"/>
      <c r="AB89" s="162"/>
      <c r="AC89" s="162"/>
      <c r="AD89" s="162"/>
      <c r="AE89" s="162"/>
    </row>
    <row r="90" spans="1:31" s="924" customFormat="1">
      <c r="A90" s="162"/>
      <c r="B90" s="1764"/>
      <c r="C90" s="163"/>
      <c r="D90" s="163"/>
      <c r="E90" s="163"/>
      <c r="F90" s="163"/>
      <c r="G90" s="163"/>
      <c r="H90" s="163"/>
      <c r="I90" s="163"/>
      <c r="J90" s="163"/>
      <c r="K90" s="163"/>
      <c r="L90" s="163"/>
      <c r="M90" s="163"/>
      <c r="N90" s="163"/>
      <c r="O90" s="163"/>
      <c r="P90" s="163"/>
      <c r="Q90" s="162"/>
      <c r="R90" s="162"/>
      <c r="S90" s="162"/>
      <c r="T90" s="163"/>
      <c r="U90" s="162"/>
      <c r="V90" s="162"/>
      <c r="W90" s="162"/>
      <c r="X90" s="162"/>
      <c r="Y90" s="162"/>
      <c r="Z90" s="162"/>
      <c r="AA90" s="162"/>
      <c r="AB90" s="162"/>
      <c r="AC90" s="162"/>
      <c r="AD90" s="162"/>
      <c r="AE90" s="162"/>
    </row>
    <row r="91" spans="1:31" s="924" customFormat="1">
      <c r="A91" s="162"/>
      <c r="B91" s="1764"/>
      <c r="C91" s="163"/>
      <c r="D91" s="163"/>
      <c r="E91" s="163"/>
      <c r="F91" s="163"/>
      <c r="G91" s="163"/>
      <c r="H91" s="163"/>
      <c r="I91" s="163"/>
      <c r="J91" s="163"/>
      <c r="K91" s="163"/>
      <c r="L91" s="163"/>
      <c r="M91" s="163"/>
      <c r="N91" s="163"/>
      <c r="O91" s="163"/>
      <c r="P91" s="163"/>
      <c r="Q91" s="162"/>
      <c r="R91" s="162"/>
      <c r="S91" s="162"/>
      <c r="T91" s="163"/>
      <c r="U91" s="162"/>
      <c r="V91" s="162"/>
      <c r="W91" s="162"/>
      <c r="X91" s="162"/>
      <c r="Y91" s="162"/>
      <c r="Z91" s="162"/>
      <c r="AA91" s="162"/>
      <c r="AB91" s="162"/>
      <c r="AC91" s="162"/>
      <c r="AD91" s="162"/>
      <c r="AE91" s="162"/>
    </row>
    <row r="92" spans="1:31" s="924" customFormat="1">
      <c r="A92" s="162"/>
      <c r="B92" s="1764"/>
      <c r="C92" s="163"/>
      <c r="D92" s="163"/>
      <c r="E92" s="163"/>
      <c r="F92" s="163"/>
      <c r="G92" s="163"/>
      <c r="H92" s="163"/>
      <c r="I92" s="163"/>
      <c r="J92" s="163"/>
      <c r="K92" s="163"/>
      <c r="L92" s="163"/>
      <c r="M92" s="163"/>
      <c r="N92" s="163"/>
      <c r="O92" s="163"/>
      <c r="P92" s="163"/>
      <c r="Q92" s="162"/>
      <c r="R92" s="162"/>
      <c r="S92" s="162"/>
      <c r="T92" s="163"/>
      <c r="U92" s="162"/>
      <c r="V92" s="162"/>
      <c r="W92" s="162"/>
      <c r="X92" s="162"/>
      <c r="Y92" s="162"/>
      <c r="Z92" s="162"/>
      <c r="AA92" s="162"/>
      <c r="AB92" s="162"/>
      <c r="AC92" s="162"/>
      <c r="AD92" s="162"/>
      <c r="AE92" s="162"/>
    </row>
    <row r="93" spans="1:31" s="924" customFormat="1">
      <c r="A93" s="162"/>
      <c r="B93" s="1764"/>
      <c r="C93" s="163"/>
      <c r="D93" s="163"/>
      <c r="E93" s="163"/>
      <c r="F93" s="163"/>
      <c r="G93" s="163"/>
      <c r="H93" s="163"/>
      <c r="I93" s="163"/>
      <c r="J93" s="163"/>
      <c r="K93" s="163"/>
      <c r="L93" s="163"/>
      <c r="M93" s="163"/>
      <c r="N93" s="163"/>
      <c r="O93" s="163"/>
      <c r="P93" s="163"/>
      <c r="Q93" s="162"/>
      <c r="R93" s="162"/>
      <c r="S93" s="162"/>
      <c r="T93" s="163"/>
      <c r="U93" s="162"/>
      <c r="V93" s="162"/>
      <c r="W93" s="162"/>
      <c r="X93" s="162"/>
      <c r="Y93" s="162"/>
      <c r="Z93" s="162"/>
      <c r="AA93" s="162"/>
      <c r="AB93" s="162"/>
      <c r="AC93" s="162"/>
      <c r="AD93" s="162"/>
      <c r="AE93" s="162"/>
    </row>
    <row r="94" spans="1:31" s="924" customFormat="1">
      <c r="A94" s="162"/>
      <c r="B94" s="1764"/>
      <c r="C94" s="163"/>
      <c r="D94" s="163"/>
      <c r="E94" s="163"/>
      <c r="F94" s="163"/>
      <c r="G94" s="163"/>
      <c r="H94" s="163"/>
      <c r="I94" s="163"/>
      <c r="J94" s="163"/>
      <c r="K94" s="163"/>
      <c r="L94" s="163"/>
      <c r="M94" s="163"/>
      <c r="N94" s="163"/>
      <c r="O94" s="163"/>
      <c r="P94" s="163"/>
      <c r="Q94" s="162"/>
      <c r="R94" s="162"/>
      <c r="S94" s="162"/>
      <c r="T94" s="163"/>
      <c r="U94" s="162"/>
      <c r="V94" s="162"/>
      <c r="W94" s="162"/>
      <c r="X94" s="162"/>
      <c r="Y94" s="162"/>
      <c r="Z94" s="162"/>
      <c r="AA94" s="162"/>
      <c r="AB94" s="162"/>
      <c r="AC94" s="162"/>
      <c r="AD94" s="162"/>
      <c r="AE94" s="162"/>
    </row>
    <row r="95" spans="1:31" s="924" customFormat="1">
      <c r="A95" s="162"/>
      <c r="B95" s="1764"/>
      <c r="C95" s="163"/>
      <c r="D95" s="163"/>
      <c r="E95" s="163"/>
      <c r="F95" s="163"/>
      <c r="G95" s="163"/>
      <c r="H95" s="163"/>
      <c r="I95" s="163"/>
      <c r="J95" s="163"/>
      <c r="K95" s="163"/>
      <c r="L95" s="163"/>
      <c r="M95" s="163"/>
      <c r="N95" s="163"/>
      <c r="O95" s="163"/>
      <c r="P95" s="163"/>
      <c r="Q95" s="162"/>
      <c r="R95" s="162"/>
      <c r="S95" s="162"/>
      <c r="T95" s="163"/>
      <c r="U95" s="162"/>
      <c r="V95" s="162"/>
      <c r="W95" s="162"/>
      <c r="X95" s="162"/>
      <c r="Y95" s="162"/>
      <c r="Z95" s="162"/>
      <c r="AA95" s="162"/>
      <c r="AB95" s="162"/>
      <c r="AC95" s="162"/>
      <c r="AD95" s="162"/>
      <c r="AE95" s="162"/>
    </row>
    <row r="96" spans="1:31" s="924" customFormat="1">
      <c r="A96" s="162"/>
      <c r="B96" s="1764"/>
      <c r="C96" s="163"/>
      <c r="D96" s="163"/>
      <c r="E96" s="163"/>
      <c r="F96" s="163"/>
      <c r="G96" s="163"/>
      <c r="H96" s="163"/>
      <c r="I96" s="163"/>
      <c r="J96" s="163"/>
      <c r="K96" s="163"/>
      <c r="L96" s="163"/>
      <c r="M96" s="163"/>
      <c r="N96" s="163"/>
      <c r="O96" s="163"/>
      <c r="P96" s="163"/>
      <c r="Q96" s="162"/>
      <c r="R96" s="162"/>
      <c r="S96" s="162"/>
      <c r="T96" s="163"/>
      <c r="U96" s="162"/>
      <c r="V96" s="162"/>
      <c r="W96" s="162"/>
      <c r="X96" s="162"/>
      <c r="Y96" s="162"/>
      <c r="Z96" s="162"/>
      <c r="AA96" s="162"/>
      <c r="AB96" s="162"/>
      <c r="AC96" s="162"/>
      <c r="AD96" s="162"/>
      <c r="AE96" s="162"/>
    </row>
    <row r="97" spans="1:31" s="924" customFormat="1">
      <c r="A97" s="162"/>
      <c r="B97" s="1764"/>
      <c r="C97" s="163"/>
      <c r="D97" s="163"/>
      <c r="E97" s="163"/>
      <c r="F97" s="163"/>
      <c r="G97" s="163"/>
      <c r="H97" s="163"/>
      <c r="I97" s="163"/>
      <c r="J97" s="163"/>
      <c r="K97" s="163"/>
      <c r="L97" s="163"/>
      <c r="M97" s="163"/>
      <c r="N97" s="163"/>
      <c r="O97" s="163"/>
      <c r="P97" s="163"/>
      <c r="Q97" s="162"/>
      <c r="R97" s="162"/>
      <c r="S97" s="162"/>
      <c r="T97" s="163"/>
      <c r="U97" s="162"/>
      <c r="V97" s="162"/>
      <c r="W97" s="162"/>
      <c r="X97" s="162"/>
      <c r="Y97" s="162"/>
      <c r="Z97" s="162"/>
      <c r="AA97" s="162"/>
      <c r="AB97" s="162"/>
      <c r="AC97" s="162"/>
      <c r="AD97" s="162"/>
      <c r="AE97" s="162"/>
    </row>
    <row r="98" spans="1:31" s="924" customFormat="1">
      <c r="A98" s="162"/>
      <c r="B98" s="1764"/>
      <c r="C98" s="163"/>
      <c r="D98" s="163"/>
      <c r="E98" s="163"/>
      <c r="F98" s="163"/>
      <c r="G98" s="163"/>
      <c r="H98" s="163"/>
      <c r="I98" s="163"/>
      <c r="J98" s="163"/>
      <c r="K98" s="163"/>
      <c r="L98" s="163"/>
      <c r="M98" s="163"/>
      <c r="N98" s="163"/>
      <c r="O98" s="163"/>
      <c r="P98" s="163"/>
      <c r="Q98" s="162"/>
      <c r="R98" s="162"/>
      <c r="S98" s="162"/>
      <c r="T98" s="163"/>
      <c r="U98" s="162"/>
      <c r="V98" s="162"/>
      <c r="W98" s="162"/>
      <c r="X98" s="162"/>
      <c r="Y98" s="162"/>
      <c r="Z98" s="162"/>
      <c r="AA98" s="162"/>
      <c r="AB98" s="162"/>
      <c r="AC98" s="162"/>
      <c r="AD98" s="162"/>
      <c r="AE98" s="162"/>
    </row>
    <row r="99" spans="1:31" s="924" customFormat="1">
      <c r="A99" s="162"/>
      <c r="B99" s="1764"/>
      <c r="C99" s="163"/>
      <c r="D99" s="163"/>
      <c r="E99" s="163"/>
      <c r="F99" s="163"/>
      <c r="G99" s="163"/>
      <c r="H99" s="163"/>
      <c r="I99" s="163"/>
      <c r="J99" s="163"/>
      <c r="K99" s="163"/>
      <c r="L99" s="163"/>
      <c r="M99" s="163"/>
      <c r="N99" s="163"/>
      <c r="O99" s="163"/>
      <c r="P99" s="163"/>
      <c r="Q99" s="162"/>
      <c r="R99" s="162"/>
      <c r="S99" s="162"/>
      <c r="T99" s="163"/>
      <c r="U99" s="162"/>
      <c r="V99" s="162"/>
      <c r="W99" s="162"/>
      <c r="X99" s="162"/>
      <c r="Y99" s="162"/>
      <c r="Z99" s="162"/>
      <c r="AA99" s="162"/>
      <c r="AB99" s="162"/>
      <c r="AC99" s="162"/>
      <c r="AD99" s="162"/>
      <c r="AE99" s="162"/>
    </row>
    <row r="100" spans="1:31" s="924" customFormat="1">
      <c r="A100" s="162"/>
      <c r="B100" s="1764"/>
      <c r="C100" s="163"/>
      <c r="D100" s="163"/>
      <c r="E100" s="163"/>
      <c r="F100" s="163"/>
      <c r="G100" s="163"/>
      <c r="H100" s="163"/>
      <c r="I100" s="163"/>
      <c r="J100" s="163"/>
      <c r="K100" s="163"/>
      <c r="L100" s="163"/>
      <c r="M100" s="163"/>
      <c r="N100" s="163"/>
      <c r="O100" s="163"/>
      <c r="P100" s="163"/>
      <c r="Q100" s="162"/>
      <c r="R100" s="162"/>
      <c r="S100" s="162"/>
      <c r="T100" s="163"/>
      <c r="U100" s="162"/>
      <c r="V100" s="162"/>
      <c r="W100" s="162"/>
      <c r="X100" s="162"/>
      <c r="Y100" s="162"/>
      <c r="Z100" s="162"/>
      <c r="AA100" s="162"/>
      <c r="AB100" s="162"/>
      <c r="AC100" s="162"/>
      <c r="AD100" s="162"/>
      <c r="AE100" s="162"/>
    </row>
    <row r="101" spans="1:31" s="924" customFormat="1">
      <c r="A101" s="162"/>
      <c r="B101" s="1764"/>
      <c r="C101" s="163"/>
      <c r="D101" s="163"/>
      <c r="E101" s="163"/>
      <c r="F101" s="163"/>
      <c r="G101" s="163"/>
      <c r="H101" s="163"/>
      <c r="I101" s="163"/>
      <c r="J101" s="163"/>
      <c r="K101" s="163"/>
      <c r="L101" s="163"/>
      <c r="M101" s="163"/>
      <c r="N101" s="163"/>
      <c r="O101" s="163"/>
      <c r="P101" s="163"/>
      <c r="Q101" s="162"/>
      <c r="R101" s="162"/>
      <c r="S101" s="162"/>
      <c r="T101" s="163"/>
      <c r="U101" s="162"/>
      <c r="V101" s="162"/>
      <c r="W101" s="162"/>
      <c r="X101" s="162"/>
      <c r="Y101" s="162"/>
      <c r="Z101" s="162"/>
      <c r="AA101" s="162"/>
      <c r="AB101" s="162"/>
      <c r="AC101" s="162"/>
      <c r="AD101" s="162"/>
      <c r="AE101" s="162"/>
    </row>
    <row r="102" spans="1:31" s="924" customFormat="1">
      <c r="A102" s="162"/>
      <c r="B102" s="1764"/>
      <c r="C102" s="163"/>
      <c r="D102" s="163"/>
      <c r="E102" s="163"/>
      <c r="F102" s="163"/>
      <c r="G102" s="163"/>
      <c r="H102" s="163"/>
      <c r="I102" s="163"/>
      <c r="J102" s="163"/>
      <c r="K102" s="163"/>
      <c r="L102" s="163"/>
      <c r="M102" s="163"/>
      <c r="N102" s="163"/>
      <c r="O102" s="163"/>
      <c r="P102" s="163"/>
      <c r="Q102" s="162"/>
      <c r="R102" s="162"/>
      <c r="S102" s="162"/>
      <c r="T102" s="163"/>
      <c r="U102" s="162"/>
      <c r="V102" s="162"/>
      <c r="W102" s="162"/>
      <c r="X102" s="162"/>
      <c r="Y102" s="162"/>
      <c r="Z102" s="162"/>
      <c r="AA102" s="162"/>
      <c r="AB102" s="162"/>
      <c r="AC102" s="162"/>
      <c r="AD102" s="162"/>
      <c r="AE102" s="162"/>
    </row>
    <row r="103" spans="1:31" s="924" customFormat="1">
      <c r="A103" s="162"/>
      <c r="B103" s="1764"/>
      <c r="C103" s="163"/>
      <c r="D103" s="163"/>
      <c r="E103" s="163"/>
      <c r="F103" s="163"/>
      <c r="G103" s="163"/>
      <c r="H103" s="163"/>
      <c r="I103" s="163"/>
      <c r="J103" s="163"/>
      <c r="K103" s="163"/>
      <c r="L103" s="163"/>
      <c r="M103" s="163"/>
      <c r="N103" s="163"/>
      <c r="O103" s="163"/>
      <c r="P103" s="163"/>
      <c r="Q103" s="162"/>
      <c r="R103" s="162"/>
      <c r="S103" s="162"/>
      <c r="T103" s="163"/>
      <c r="U103" s="162"/>
      <c r="V103" s="162"/>
      <c r="W103" s="162"/>
      <c r="X103" s="162"/>
      <c r="Y103" s="162"/>
      <c r="Z103" s="162"/>
      <c r="AA103" s="162"/>
      <c r="AB103" s="162"/>
      <c r="AC103" s="162"/>
      <c r="AD103" s="162"/>
      <c r="AE103" s="162"/>
    </row>
    <row r="104" spans="1:31" s="924" customFormat="1">
      <c r="A104" s="162"/>
      <c r="B104" s="1764"/>
      <c r="C104" s="163"/>
      <c r="D104" s="163"/>
      <c r="E104" s="163"/>
      <c r="F104" s="163"/>
      <c r="G104" s="163"/>
      <c r="H104" s="163"/>
      <c r="I104" s="163"/>
      <c r="J104" s="163"/>
      <c r="K104" s="163"/>
      <c r="L104" s="163"/>
      <c r="M104" s="163"/>
      <c r="N104" s="163"/>
      <c r="O104" s="163"/>
      <c r="P104" s="163"/>
      <c r="Q104" s="162"/>
      <c r="R104" s="162"/>
      <c r="S104" s="162"/>
      <c r="T104" s="163"/>
      <c r="U104" s="162"/>
      <c r="V104" s="162"/>
      <c r="W104" s="162"/>
      <c r="X104" s="162"/>
      <c r="Y104" s="162"/>
      <c r="Z104" s="162"/>
      <c r="AA104" s="162"/>
      <c r="AB104" s="162"/>
      <c r="AC104" s="162"/>
      <c r="AD104" s="162"/>
      <c r="AE104" s="162"/>
    </row>
    <row r="105" spans="1:31" s="924" customFormat="1">
      <c r="A105" s="162"/>
      <c r="B105" s="1764"/>
      <c r="C105" s="163"/>
      <c r="D105" s="163"/>
      <c r="E105" s="163"/>
      <c r="F105" s="163"/>
      <c r="G105" s="163"/>
      <c r="H105" s="163"/>
      <c r="I105" s="163"/>
      <c r="J105" s="163"/>
      <c r="K105" s="163"/>
      <c r="L105" s="163"/>
      <c r="M105" s="163"/>
      <c r="N105" s="163"/>
      <c r="O105" s="163"/>
      <c r="P105" s="163"/>
      <c r="Q105" s="162"/>
      <c r="R105" s="162"/>
      <c r="S105" s="162"/>
      <c r="T105" s="163"/>
      <c r="U105" s="162"/>
      <c r="V105" s="162"/>
      <c r="W105" s="162"/>
      <c r="X105" s="162"/>
      <c r="Y105" s="162"/>
      <c r="Z105" s="162"/>
      <c r="AA105" s="162"/>
      <c r="AB105" s="162"/>
      <c r="AC105" s="162"/>
      <c r="AD105" s="162"/>
      <c r="AE105" s="162"/>
    </row>
    <row r="106" spans="1:31" s="924" customFormat="1">
      <c r="A106" s="162"/>
      <c r="B106" s="1764"/>
      <c r="C106" s="163"/>
      <c r="D106" s="163"/>
      <c r="E106" s="163"/>
      <c r="F106" s="163"/>
      <c r="G106" s="163"/>
      <c r="H106" s="163"/>
      <c r="I106" s="163"/>
      <c r="J106" s="163"/>
      <c r="K106" s="163"/>
      <c r="L106" s="163"/>
      <c r="M106" s="163"/>
      <c r="N106" s="163"/>
      <c r="O106" s="163"/>
      <c r="P106" s="163"/>
      <c r="Q106" s="162"/>
      <c r="R106" s="162"/>
      <c r="S106" s="162"/>
      <c r="T106" s="163"/>
      <c r="U106" s="162"/>
      <c r="V106" s="162"/>
      <c r="W106" s="162"/>
      <c r="X106" s="162"/>
      <c r="Y106" s="162"/>
      <c r="Z106" s="162"/>
      <c r="AA106" s="162"/>
      <c r="AB106" s="162"/>
      <c r="AC106" s="162"/>
      <c r="AD106" s="162"/>
      <c r="AE106" s="162"/>
    </row>
    <row r="107" spans="1:31" s="924" customFormat="1">
      <c r="A107" s="162"/>
      <c r="B107" s="1764"/>
      <c r="C107" s="163"/>
      <c r="D107" s="163"/>
      <c r="E107" s="163"/>
      <c r="F107" s="163"/>
      <c r="G107" s="163"/>
      <c r="H107" s="163"/>
      <c r="I107" s="163"/>
      <c r="J107" s="163"/>
      <c r="K107" s="163"/>
      <c r="L107" s="163"/>
      <c r="M107" s="163"/>
      <c r="N107" s="163"/>
      <c r="O107" s="163"/>
      <c r="P107" s="163"/>
      <c r="Q107" s="162"/>
      <c r="R107" s="162"/>
      <c r="S107" s="162"/>
      <c r="T107" s="163"/>
      <c r="U107" s="162"/>
      <c r="V107" s="162"/>
      <c r="W107" s="162"/>
      <c r="X107" s="162"/>
      <c r="Y107" s="162"/>
      <c r="Z107" s="162"/>
      <c r="AA107" s="162"/>
      <c r="AB107" s="162"/>
      <c r="AC107" s="162"/>
      <c r="AD107" s="162"/>
      <c r="AE107" s="162"/>
    </row>
    <row r="108" spans="1:31" s="924" customFormat="1">
      <c r="A108" s="162"/>
      <c r="B108" s="1764"/>
      <c r="C108" s="163"/>
      <c r="D108" s="163"/>
      <c r="E108" s="163"/>
      <c r="F108" s="163"/>
      <c r="G108" s="163"/>
      <c r="H108" s="163"/>
      <c r="I108" s="163"/>
      <c r="J108" s="163"/>
      <c r="K108" s="163"/>
      <c r="L108" s="163"/>
      <c r="M108" s="163"/>
      <c r="N108" s="163"/>
      <c r="O108" s="163"/>
      <c r="P108" s="163"/>
      <c r="Q108" s="162"/>
      <c r="R108" s="162"/>
      <c r="S108" s="162"/>
      <c r="T108" s="163"/>
      <c r="U108" s="162"/>
      <c r="V108" s="162"/>
      <c r="W108" s="162"/>
      <c r="X108" s="162"/>
      <c r="Y108" s="162"/>
      <c r="Z108" s="162"/>
      <c r="AA108" s="162"/>
      <c r="AB108" s="162"/>
      <c r="AC108" s="162"/>
      <c r="AD108" s="162"/>
      <c r="AE108" s="162"/>
    </row>
    <row r="109" spans="1:31" s="924" customFormat="1">
      <c r="A109" s="162"/>
      <c r="B109" s="1764"/>
      <c r="C109" s="163"/>
      <c r="D109" s="163"/>
      <c r="E109" s="163"/>
      <c r="F109" s="163"/>
      <c r="G109" s="163"/>
      <c r="H109" s="163"/>
      <c r="I109" s="163"/>
      <c r="J109" s="163"/>
      <c r="K109" s="163"/>
      <c r="L109" s="163"/>
      <c r="M109" s="163"/>
      <c r="N109" s="163"/>
      <c r="O109" s="163"/>
      <c r="P109" s="163"/>
      <c r="Q109" s="162"/>
      <c r="R109" s="162"/>
      <c r="S109" s="162"/>
      <c r="T109" s="163"/>
      <c r="U109" s="162"/>
      <c r="V109" s="162"/>
      <c r="W109" s="162"/>
      <c r="X109" s="162"/>
      <c r="Y109" s="162"/>
      <c r="Z109" s="162"/>
      <c r="AA109" s="162"/>
      <c r="AB109" s="162"/>
      <c r="AC109" s="162"/>
      <c r="AD109" s="162"/>
      <c r="AE109" s="162"/>
    </row>
    <row r="110" spans="1:31" s="924" customFormat="1">
      <c r="A110" s="162"/>
      <c r="B110" s="1764"/>
      <c r="C110" s="163"/>
      <c r="D110" s="163"/>
      <c r="E110" s="163"/>
      <c r="F110" s="163"/>
      <c r="G110" s="163"/>
      <c r="H110" s="163"/>
      <c r="I110" s="163"/>
      <c r="J110" s="163"/>
      <c r="K110" s="163"/>
      <c r="L110" s="163"/>
      <c r="M110" s="163"/>
      <c r="N110" s="163"/>
      <c r="O110" s="163"/>
      <c r="P110" s="163"/>
      <c r="Q110" s="162"/>
      <c r="R110" s="162"/>
      <c r="S110" s="162"/>
      <c r="T110" s="163"/>
      <c r="U110" s="162"/>
      <c r="V110" s="162"/>
      <c r="W110" s="162"/>
      <c r="X110" s="162"/>
      <c r="Y110" s="162"/>
      <c r="Z110" s="162"/>
      <c r="AA110" s="162"/>
      <c r="AB110" s="162"/>
      <c r="AC110" s="162"/>
      <c r="AD110" s="162"/>
      <c r="AE110" s="162"/>
    </row>
    <row r="111" spans="1:31" s="924" customFormat="1">
      <c r="A111" s="162"/>
      <c r="B111" s="1764"/>
      <c r="C111" s="163"/>
      <c r="D111" s="163"/>
      <c r="E111" s="163"/>
      <c r="F111" s="163"/>
      <c r="G111" s="163"/>
      <c r="H111" s="163"/>
      <c r="I111" s="163"/>
      <c r="J111" s="163"/>
      <c r="K111" s="163"/>
      <c r="L111" s="163"/>
      <c r="M111" s="163"/>
      <c r="N111" s="163"/>
      <c r="O111" s="163"/>
      <c r="P111" s="163"/>
      <c r="Q111" s="162"/>
      <c r="R111" s="162"/>
      <c r="S111" s="162"/>
      <c r="T111" s="163"/>
      <c r="U111" s="162"/>
      <c r="V111" s="162"/>
      <c r="W111" s="162"/>
      <c r="X111" s="162"/>
      <c r="Y111" s="162"/>
      <c r="Z111" s="162"/>
      <c r="AA111" s="162"/>
      <c r="AB111" s="162"/>
      <c r="AC111" s="162"/>
      <c r="AD111" s="162"/>
      <c r="AE111" s="162"/>
    </row>
    <row r="112" spans="1:31" s="924" customFormat="1">
      <c r="A112" s="162"/>
      <c r="B112" s="1764"/>
      <c r="C112" s="163"/>
      <c r="D112" s="163"/>
      <c r="E112" s="163"/>
      <c r="F112" s="163"/>
      <c r="G112" s="163"/>
      <c r="H112" s="163"/>
      <c r="I112" s="163"/>
      <c r="J112" s="163"/>
      <c r="K112" s="163"/>
      <c r="L112" s="163"/>
      <c r="M112" s="163"/>
      <c r="N112" s="163"/>
      <c r="O112" s="163"/>
      <c r="P112" s="163"/>
      <c r="Q112" s="162"/>
      <c r="R112" s="162"/>
      <c r="S112" s="162"/>
      <c r="T112" s="163"/>
      <c r="U112" s="162"/>
      <c r="V112" s="162"/>
      <c r="W112" s="162"/>
      <c r="X112" s="162"/>
      <c r="Y112" s="162"/>
      <c r="Z112" s="162"/>
      <c r="AA112" s="162"/>
      <c r="AB112" s="162"/>
      <c r="AC112" s="162"/>
      <c r="AD112" s="162"/>
      <c r="AE112" s="162"/>
    </row>
    <row r="113" spans="1:31" s="924" customFormat="1">
      <c r="A113" s="162"/>
      <c r="B113" s="1764"/>
      <c r="C113" s="163"/>
      <c r="D113" s="163"/>
      <c r="E113" s="163"/>
      <c r="F113" s="163"/>
      <c r="G113" s="163"/>
      <c r="H113" s="163"/>
      <c r="I113" s="163"/>
      <c r="J113" s="163"/>
      <c r="K113" s="163"/>
      <c r="L113" s="163"/>
      <c r="M113" s="163"/>
      <c r="N113" s="163"/>
      <c r="O113" s="163"/>
      <c r="P113" s="163"/>
      <c r="Q113" s="162"/>
      <c r="R113" s="162"/>
      <c r="S113" s="162"/>
      <c r="T113" s="163"/>
      <c r="U113" s="162"/>
      <c r="V113" s="162"/>
      <c r="W113" s="162"/>
      <c r="X113" s="162"/>
      <c r="Y113" s="162"/>
      <c r="Z113" s="162"/>
      <c r="AA113" s="162"/>
      <c r="AB113" s="162"/>
      <c r="AC113" s="162"/>
      <c r="AD113" s="162"/>
      <c r="AE113" s="162"/>
    </row>
    <row r="114" spans="1:31" s="924" customFormat="1">
      <c r="A114" s="162"/>
      <c r="B114" s="1764"/>
      <c r="C114" s="163"/>
      <c r="D114" s="163"/>
      <c r="E114" s="163"/>
      <c r="F114" s="163"/>
      <c r="G114" s="163"/>
      <c r="H114" s="163"/>
      <c r="I114" s="163"/>
      <c r="J114" s="163"/>
      <c r="K114" s="163"/>
      <c r="L114" s="163"/>
      <c r="M114" s="163"/>
      <c r="N114" s="163"/>
      <c r="O114" s="163"/>
      <c r="P114" s="163"/>
      <c r="Q114" s="162"/>
      <c r="R114" s="162"/>
      <c r="S114" s="162"/>
      <c r="T114" s="163"/>
      <c r="U114" s="162"/>
      <c r="V114" s="162"/>
      <c r="W114" s="162"/>
      <c r="X114" s="162"/>
      <c r="Y114" s="162"/>
      <c r="Z114" s="162"/>
      <c r="AA114" s="162"/>
      <c r="AB114" s="162"/>
      <c r="AC114" s="162"/>
      <c r="AD114" s="162"/>
      <c r="AE114" s="162"/>
    </row>
    <row r="115" spans="1:31" s="924" customFormat="1">
      <c r="A115" s="162"/>
      <c r="B115" s="1764"/>
      <c r="C115" s="163"/>
      <c r="D115" s="163"/>
      <c r="E115" s="163"/>
      <c r="F115" s="163"/>
      <c r="G115" s="163"/>
      <c r="H115" s="163"/>
      <c r="I115" s="163"/>
      <c r="J115" s="163"/>
      <c r="K115" s="163"/>
      <c r="L115" s="163"/>
      <c r="M115" s="163"/>
      <c r="N115" s="163"/>
      <c r="O115" s="163"/>
      <c r="P115" s="163"/>
      <c r="Q115" s="162"/>
      <c r="R115" s="162"/>
      <c r="S115" s="162"/>
      <c r="T115" s="163"/>
      <c r="U115" s="162"/>
      <c r="V115" s="162"/>
      <c r="W115" s="162"/>
      <c r="X115" s="162"/>
      <c r="Y115" s="162"/>
      <c r="Z115" s="162"/>
      <c r="AA115" s="162"/>
      <c r="AB115" s="162"/>
      <c r="AC115" s="162"/>
      <c r="AD115" s="162"/>
      <c r="AE115" s="162"/>
    </row>
    <row r="116" spans="1:31" s="924" customFormat="1">
      <c r="A116" s="162"/>
      <c r="B116" s="1764"/>
      <c r="C116" s="163"/>
      <c r="D116" s="163"/>
      <c r="E116" s="163"/>
      <c r="F116" s="163"/>
      <c r="G116" s="163"/>
      <c r="H116" s="163"/>
      <c r="I116" s="163"/>
      <c r="J116" s="163"/>
      <c r="K116" s="163"/>
      <c r="L116" s="163"/>
      <c r="M116" s="163"/>
      <c r="N116" s="163"/>
      <c r="O116" s="163"/>
      <c r="P116" s="163"/>
      <c r="Q116" s="162"/>
      <c r="R116" s="162"/>
      <c r="S116" s="162"/>
      <c r="T116" s="163"/>
      <c r="U116" s="162"/>
      <c r="V116" s="162"/>
      <c r="W116" s="162"/>
      <c r="X116" s="162"/>
      <c r="Y116" s="162"/>
      <c r="Z116" s="162"/>
      <c r="AA116" s="162"/>
      <c r="AB116" s="162"/>
      <c r="AC116" s="162"/>
      <c r="AD116" s="162"/>
      <c r="AE116" s="162"/>
    </row>
    <row r="117" spans="1:31" s="924" customFormat="1">
      <c r="A117" s="162"/>
      <c r="B117" s="1764"/>
      <c r="C117" s="163"/>
      <c r="D117" s="163"/>
      <c r="E117" s="163"/>
      <c r="F117" s="163"/>
      <c r="G117" s="163"/>
      <c r="H117" s="163"/>
      <c r="I117" s="163"/>
      <c r="J117" s="163"/>
      <c r="K117" s="163"/>
      <c r="L117" s="163"/>
      <c r="M117" s="163"/>
      <c r="N117" s="163"/>
      <c r="O117" s="163"/>
      <c r="P117" s="163"/>
      <c r="Q117" s="162"/>
      <c r="R117" s="162"/>
      <c r="S117" s="162"/>
      <c r="T117" s="163"/>
      <c r="U117" s="162"/>
      <c r="V117" s="162"/>
      <c r="W117" s="162"/>
      <c r="X117" s="162"/>
      <c r="Y117" s="162"/>
      <c r="Z117" s="162"/>
      <c r="AA117" s="162"/>
      <c r="AB117" s="162"/>
      <c r="AC117" s="162"/>
      <c r="AD117" s="162"/>
      <c r="AE117" s="162"/>
    </row>
    <row r="118" spans="1:31" s="924" customFormat="1">
      <c r="A118" s="162"/>
      <c r="B118" s="1764"/>
      <c r="C118" s="163"/>
      <c r="D118" s="163"/>
      <c r="E118" s="163"/>
      <c r="F118" s="163"/>
      <c r="G118" s="163"/>
      <c r="H118" s="163"/>
      <c r="I118" s="163"/>
      <c r="J118" s="163"/>
      <c r="K118" s="163"/>
      <c r="L118" s="163"/>
      <c r="M118" s="163"/>
      <c r="N118" s="163"/>
      <c r="O118" s="163"/>
      <c r="P118" s="163"/>
      <c r="Q118" s="162"/>
      <c r="R118" s="162"/>
      <c r="S118" s="162"/>
      <c r="T118" s="163"/>
      <c r="U118" s="162"/>
      <c r="V118" s="162"/>
      <c r="W118" s="162"/>
      <c r="X118" s="162"/>
      <c r="Y118" s="162"/>
      <c r="Z118" s="162"/>
      <c r="AA118" s="162"/>
      <c r="AB118" s="162"/>
      <c r="AC118" s="162"/>
      <c r="AD118" s="162"/>
      <c r="AE118" s="162"/>
    </row>
    <row r="119" spans="1:31" s="924" customFormat="1">
      <c r="A119" s="162"/>
      <c r="B119" s="1764"/>
      <c r="C119" s="163"/>
      <c r="D119" s="163"/>
      <c r="E119" s="163"/>
      <c r="F119" s="163"/>
      <c r="G119" s="163"/>
      <c r="H119" s="163"/>
      <c r="I119" s="163"/>
      <c r="J119" s="163"/>
      <c r="K119" s="163"/>
      <c r="L119" s="163"/>
      <c r="M119" s="163"/>
      <c r="N119" s="163"/>
      <c r="O119" s="163"/>
      <c r="P119" s="163"/>
      <c r="Q119" s="162"/>
      <c r="R119" s="162"/>
      <c r="S119" s="162"/>
      <c r="T119" s="163"/>
      <c r="U119" s="162"/>
      <c r="V119" s="162"/>
      <c r="W119" s="162"/>
      <c r="X119" s="162"/>
      <c r="Y119" s="162"/>
      <c r="Z119" s="162"/>
      <c r="AA119" s="162"/>
      <c r="AB119" s="162"/>
      <c r="AC119" s="162"/>
      <c r="AD119" s="162"/>
      <c r="AE119" s="162"/>
    </row>
    <row r="120" spans="1:31" s="924" customFormat="1">
      <c r="A120" s="162"/>
      <c r="B120" s="1764"/>
      <c r="C120" s="163"/>
      <c r="D120" s="163"/>
      <c r="E120" s="163"/>
      <c r="F120" s="163"/>
      <c r="G120" s="163"/>
      <c r="H120" s="163"/>
      <c r="I120" s="163"/>
      <c r="J120" s="163"/>
      <c r="K120" s="163"/>
      <c r="L120" s="163"/>
      <c r="M120" s="163"/>
      <c r="N120" s="163"/>
      <c r="O120" s="163"/>
      <c r="P120" s="163"/>
      <c r="Q120" s="162"/>
      <c r="R120" s="162"/>
      <c r="S120" s="162"/>
      <c r="T120" s="163"/>
      <c r="U120" s="162"/>
      <c r="V120" s="162"/>
      <c r="W120" s="162"/>
      <c r="X120" s="162"/>
      <c r="Y120" s="162"/>
      <c r="Z120" s="162"/>
      <c r="AA120" s="162"/>
      <c r="AB120" s="162"/>
      <c r="AC120" s="162"/>
      <c r="AD120" s="162"/>
      <c r="AE120" s="162"/>
    </row>
    <row r="121" spans="1:31" s="924" customFormat="1">
      <c r="A121" s="162"/>
      <c r="B121" s="1764"/>
      <c r="C121" s="163"/>
      <c r="D121" s="163"/>
      <c r="E121" s="163"/>
      <c r="F121" s="163"/>
      <c r="G121" s="163"/>
      <c r="H121" s="163"/>
      <c r="I121" s="163"/>
      <c r="J121" s="163"/>
      <c r="K121" s="163"/>
      <c r="L121" s="163"/>
      <c r="M121" s="163"/>
      <c r="N121" s="163"/>
      <c r="O121" s="163"/>
      <c r="P121" s="163"/>
      <c r="Q121" s="162"/>
      <c r="R121" s="162"/>
      <c r="S121" s="162"/>
      <c r="T121" s="163"/>
      <c r="U121" s="162"/>
      <c r="V121" s="162"/>
      <c r="W121" s="162"/>
      <c r="X121" s="162"/>
      <c r="Y121" s="162"/>
      <c r="Z121" s="162"/>
      <c r="AA121" s="162"/>
      <c r="AB121" s="162"/>
      <c r="AC121" s="162"/>
      <c r="AD121" s="162"/>
      <c r="AE121" s="162"/>
    </row>
    <row r="122" spans="1:31" s="924" customFormat="1">
      <c r="A122" s="162"/>
      <c r="B122" s="1764"/>
      <c r="C122" s="163"/>
      <c r="D122" s="163"/>
      <c r="E122" s="163"/>
      <c r="F122" s="163"/>
      <c r="G122" s="163"/>
      <c r="H122" s="163"/>
      <c r="I122" s="163"/>
      <c r="J122" s="163"/>
      <c r="K122" s="163"/>
      <c r="L122" s="163"/>
      <c r="M122" s="163"/>
      <c r="N122" s="163"/>
      <c r="O122" s="163"/>
      <c r="P122" s="163"/>
      <c r="Q122" s="162"/>
      <c r="R122" s="162"/>
      <c r="S122" s="162"/>
      <c r="T122" s="163"/>
      <c r="U122" s="162"/>
      <c r="V122" s="162"/>
      <c r="W122" s="162"/>
      <c r="X122" s="162"/>
      <c r="Y122" s="162"/>
      <c r="Z122" s="162"/>
      <c r="AA122" s="162"/>
      <c r="AB122" s="162"/>
      <c r="AC122" s="162"/>
      <c r="AD122" s="162"/>
      <c r="AE122" s="162"/>
    </row>
    <row r="123" spans="1:31" s="924" customFormat="1">
      <c r="A123" s="162"/>
      <c r="B123" s="1764"/>
      <c r="C123" s="163"/>
      <c r="D123" s="163"/>
      <c r="E123" s="163"/>
      <c r="F123" s="163"/>
      <c r="G123" s="163"/>
      <c r="H123" s="163"/>
      <c r="I123" s="163"/>
      <c r="J123" s="163"/>
      <c r="K123" s="163"/>
      <c r="L123" s="163"/>
      <c r="M123" s="163"/>
      <c r="N123" s="163"/>
      <c r="O123" s="163"/>
      <c r="P123" s="163"/>
      <c r="Q123" s="162"/>
      <c r="R123" s="162"/>
      <c r="S123" s="162"/>
      <c r="T123" s="163"/>
      <c r="U123" s="162"/>
      <c r="V123" s="162"/>
      <c r="W123" s="162"/>
      <c r="X123" s="162"/>
      <c r="Y123" s="162"/>
      <c r="Z123" s="162"/>
      <c r="AA123" s="162"/>
      <c r="AB123" s="162"/>
      <c r="AC123" s="162"/>
      <c r="AD123" s="162"/>
      <c r="AE123" s="162"/>
    </row>
    <row r="124" spans="1:31" s="924" customFormat="1">
      <c r="A124" s="162"/>
      <c r="B124" s="1764"/>
      <c r="C124" s="163"/>
      <c r="D124" s="163"/>
      <c r="E124" s="163"/>
      <c r="F124" s="163"/>
      <c r="G124" s="163"/>
      <c r="H124" s="163"/>
      <c r="I124" s="163"/>
      <c r="J124" s="163"/>
      <c r="K124" s="163"/>
      <c r="L124" s="163"/>
      <c r="M124" s="163"/>
      <c r="N124" s="163"/>
      <c r="O124" s="163"/>
      <c r="P124" s="163"/>
      <c r="Q124" s="162"/>
      <c r="R124" s="162"/>
      <c r="S124" s="162"/>
      <c r="T124" s="163"/>
      <c r="U124" s="162"/>
      <c r="V124" s="162"/>
      <c r="W124" s="162"/>
      <c r="X124" s="162"/>
      <c r="Y124" s="162"/>
      <c r="Z124" s="162"/>
      <c r="AA124" s="162"/>
      <c r="AB124" s="162"/>
      <c r="AC124" s="162"/>
      <c r="AD124" s="162"/>
      <c r="AE124" s="162"/>
    </row>
    <row r="125" spans="1:31" s="924" customFormat="1">
      <c r="A125" s="162"/>
      <c r="B125" s="1764"/>
      <c r="C125" s="163"/>
      <c r="D125" s="163"/>
      <c r="E125" s="163"/>
      <c r="F125" s="163"/>
      <c r="G125" s="163"/>
      <c r="H125" s="163"/>
      <c r="I125" s="163"/>
      <c r="J125" s="163"/>
      <c r="K125" s="163"/>
      <c r="L125" s="163"/>
      <c r="M125" s="163"/>
      <c r="N125" s="163"/>
      <c r="O125" s="163"/>
      <c r="P125" s="163"/>
      <c r="Q125" s="162"/>
      <c r="R125" s="162"/>
      <c r="S125" s="162"/>
      <c r="T125" s="163"/>
      <c r="U125" s="162"/>
      <c r="V125" s="162"/>
      <c r="W125" s="162"/>
      <c r="X125" s="162"/>
      <c r="Y125" s="162"/>
      <c r="Z125" s="162"/>
      <c r="AA125" s="162"/>
      <c r="AB125" s="162"/>
      <c r="AC125" s="162"/>
      <c r="AD125" s="162"/>
      <c r="AE125" s="162"/>
    </row>
    <row r="126" spans="1:31" s="924" customFormat="1">
      <c r="A126" s="162"/>
      <c r="B126" s="1764"/>
      <c r="C126" s="163"/>
      <c r="D126" s="163"/>
      <c r="E126" s="163"/>
      <c r="F126" s="163"/>
      <c r="G126" s="163"/>
      <c r="H126" s="163"/>
      <c r="I126" s="163"/>
      <c r="J126" s="163"/>
      <c r="K126" s="163"/>
      <c r="L126" s="163"/>
      <c r="M126" s="163"/>
      <c r="N126" s="163"/>
      <c r="O126" s="163"/>
      <c r="P126" s="163"/>
      <c r="Q126" s="162"/>
      <c r="R126" s="162"/>
      <c r="S126" s="162"/>
      <c r="T126" s="163"/>
      <c r="U126" s="162"/>
      <c r="V126" s="162"/>
      <c r="W126" s="162"/>
      <c r="X126" s="162"/>
      <c r="Y126" s="162"/>
      <c r="Z126" s="162"/>
      <c r="AA126" s="162"/>
      <c r="AB126" s="162"/>
      <c r="AC126" s="162"/>
      <c r="AD126" s="162"/>
      <c r="AE126" s="162"/>
    </row>
    <row r="127" spans="1:31" s="924" customFormat="1">
      <c r="A127" s="162"/>
      <c r="B127" s="1764"/>
      <c r="C127" s="163"/>
      <c r="D127" s="163"/>
      <c r="E127" s="163"/>
      <c r="F127" s="163"/>
      <c r="G127" s="163"/>
      <c r="H127" s="163"/>
      <c r="I127" s="163"/>
      <c r="J127" s="163"/>
      <c r="K127" s="163"/>
      <c r="L127" s="163"/>
      <c r="M127" s="163"/>
      <c r="N127" s="163"/>
      <c r="O127" s="163"/>
      <c r="P127" s="163"/>
      <c r="Q127" s="162"/>
      <c r="R127" s="162"/>
      <c r="S127" s="162"/>
      <c r="T127" s="163"/>
      <c r="U127" s="162"/>
      <c r="V127" s="162"/>
      <c r="W127" s="162"/>
      <c r="X127" s="162"/>
      <c r="Y127" s="162"/>
      <c r="Z127" s="162"/>
      <c r="AA127" s="162"/>
      <c r="AB127" s="162"/>
      <c r="AC127" s="162"/>
      <c r="AD127" s="162"/>
      <c r="AE127" s="162"/>
    </row>
    <row r="128" spans="1:31" s="924" customFormat="1">
      <c r="A128" s="162"/>
      <c r="B128" s="1764"/>
      <c r="C128" s="163"/>
      <c r="D128" s="163"/>
      <c r="E128" s="163"/>
      <c r="F128" s="163"/>
      <c r="G128" s="163"/>
      <c r="H128" s="163"/>
      <c r="I128" s="163"/>
      <c r="J128" s="163"/>
      <c r="K128" s="163"/>
      <c r="L128" s="163"/>
      <c r="M128" s="163"/>
      <c r="N128" s="163"/>
      <c r="O128" s="163"/>
      <c r="P128" s="163"/>
      <c r="Q128" s="162"/>
      <c r="R128" s="162"/>
      <c r="S128" s="162"/>
      <c r="T128" s="163"/>
      <c r="U128" s="162"/>
      <c r="V128" s="162"/>
      <c r="W128" s="162"/>
      <c r="X128" s="162"/>
      <c r="Y128" s="162"/>
      <c r="Z128" s="162"/>
      <c r="AA128" s="162"/>
      <c r="AB128" s="162"/>
      <c r="AC128" s="162"/>
      <c r="AD128" s="162"/>
      <c r="AE128" s="162"/>
    </row>
    <row r="129" spans="1:31" s="924" customFormat="1">
      <c r="A129" s="162"/>
      <c r="B129" s="1764"/>
      <c r="C129" s="163"/>
      <c r="D129" s="163"/>
      <c r="E129" s="163"/>
      <c r="F129" s="163"/>
      <c r="G129" s="163"/>
      <c r="H129" s="163"/>
      <c r="I129" s="163"/>
      <c r="J129" s="163"/>
      <c r="K129" s="163"/>
      <c r="L129" s="163"/>
      <c r="M129" s="163"/>
      <c r="N129" s="163"/>
      <c r="O129" s="163"/>
      <c r="P129" s="163"/>
      <c r="Q129" s="162"/>
      <c r="R129" s="162"/>
      <c r="S129" s="162"/>
      <c r="T129" s="163"/>
      <c r="U129" s="162"/>
      <c r="V129" s="162"/>
      <c r="W129" s="162"/>
      <c r="X129" s="162"/>
      <c r="Y129" s="162"/>
      <c r="Z129" s="162"/>
      <c r="AA129" s="162"/>
      <c r="AB129" s="162"/>
      <c r="AC129" s="162"/>
      <c r="AD129" s="162"/>
      <c r="AE129" s="162"/>
    </row>
    <row r="130" spans="1:31" s="924" customFormat="1">
      <c r="A130" s="162"/>
      <c r="B130" s="1764"/>
      <c r="C130" s="163"/>
      <c r="D130" s="163"/>
      <c r="E130" s="163"/>
      <c r="F130" s="163"/>
      <c r="G130" s="163"/>
      <c r="H130" s="163"/>
      <c r="I130" s="163"/>
      <c r="J130" s="163"/>
      <c r="K130" s="163"/>
      <c r="L130" s="163"/>
      <c r="M130" s="163"/>
      <c r="N130" s="163"/>
      <c r="O130" s="163"/>
      <c r="P130" s="163"/>
      <c r="Q130" s="162"/>
      <c r="R130" s="162"/>
      <c r="S130" s="162"/>
      <c r="T130" s="163"/>
      <c r="U130" s="162"/>
      <c r="V130" s="162"/>
      <c r="W130" s="162"/>
      <c r="X130" s="162"/>
      <c r="Y130" s="162"/>
      <c r="Z130" s="162"/>
      <c r="AA130" s="162"/>
      <c r="AB130" s="162"/>
      <c r="AC130" s="162"/>
      <c r="AD130" s="162"/>
      <c r="AE130" s="162"/>
    </row>
    <row r="131" spans="1:31" s="924" customFormat="1">
      <c r="A131" s="162"/>
      <c r="B131" s="1764"/>
      <c r="C131" s="163"/>
      <c r="D131" s="163"/>
      <c r="E131" s="163"/>
      <c r="F131" s="163"/>
      <c r="G131" s="163"/>
      <c r="H131" s="163"/>
      <c r="I131" s="163"/>
      <c r="J131" s="163"/>
      <c r="K131" s="163"/>
      <c r="L131" s="163"/>
      <c r="M131" s="163"/>
      <c r="N131" s="163"/>
      <c r="O131" s="163"/>
      <c r="P131" s="163"/>
      <c r="Q131" s="162"/>
      <c r="R131" s="162"/>
      <c r="S131" s="162"/>
      <c r="T131" s="163"/>
      <c r="U131" s="162"/>
      <c r="V131" s="162"/>
      <c r="W131" s="162"/>
      <c r="X131" s="162"/>
      <c r="Y131" s="162"/>
      <c r="Z131" s="162"/>
      <c r="AA131" s="162"/>
      <c r="AB131" s="162"/>
      <c r="AC131" s="162"/>
      <c r="AD131" s="162"/>
      <c r="AE131" s="162"/>
    </row>
    <row r="132" spans="1:31" s="924" customFormat="1">
      <c r="A132" s="162"/>
      <c r="B132" s="1764"/>
      <c r="C132" s="163"/>
      <c r="D132" s="163"/>
      <c r="E132" s="163"/>
      <c r="F132" s="163"/>
      <c r="G132" s="163"/>
      <c r="H132" s="163"/>
      <c r="I132" s="163"/>
      <c r="J132" s="163"/>
      <c r="K132" s="163"/>
      <c r="L132" s="163"/>
      <c r="M132" s="163"/>
      <c r="N132" s="163"/>
      <c r="O132" s="163"/>
      <c r="P132" s="163"/>
      <c r="Q132" s="162"/>
      <c r="R132" s="162"/>
      <c r="S132" s="162"/>
      <c r="T132" s="163"/>
      <c r="U132" s="162"/>
      <c r="V132" s="162"/>
      <c r="W132" s="162"/>
      <c r="X132" s="162"/>
      <c r="Y132" s="162"/>
      <c r="Z132" s="162"/>
      <c r="AA132" s="162"/>
      <c r="AB132" s="162"/>
      <c r="AC132" s="162"/>
      <c r="AD132" s="162"/>
      <c r="AE132" s="162"/>
    </row>
    <row r="133" spans="1:31" s="924" customFormat="1">
      <c r="A133" s="162"/>
      <c r="B133" s="1764"/>
      <c r="C133" s="163"/>
      <c r="D133" s="163"/>
      <c r="E133" s="163"/>
      <c r="F133" s="163"/>
      <c r="G133" s="163"/>
      <c r="H133" s="163"/>
      <c r="I133" s="163"/>
      <c r="J133" s="163"/>
      <c r="K133" s="163"/>
      <c r="L133" s="163"/>
      <c r="M133" s="163"/>
      <c r="N133" s="163"/>
      <c r="O133" s="163"/>
      <c r="P133" s="163"/>
      <c r="Q133" s="162"/>
      <c r="R133" s="162"/>
      <c r="S133" s="162"/>
      <c r="T133" s="163"/>
      <c r="U133" s="162"/>
      <c r="V133" s="162"/>
      <c r="W133" s="162"/>
      <c r="X133" s="162"/>
      <c r="Y133" s="162"/>
      <c r="Z133" s="162"/>
      <c r="AA133" s="162"/>
      <c r="AB133" s="162"/>
      <c r="AC133" s="162"/>
      <c r="AD133" s="162"/>
      <c r="AE133" s="162"/>
    </row>
    <row r="134" spans="1:31" s="924" customFormat="1">
      <c r="A134" s="162"/>
      <c r="B134" s="1764"/>
      <c r="C134" s="163"/>
      <c r="D134" s="163"/>
      <c r="E134" s="163"/>
      <c r="F134" s="163"/>
      <c r="G134" s="163"/>
      <c r="H134" s="163"/>
      <c r="I134" s="163"/>
      <c r="J134" s="163"/>
      <c r="K134" s="163"/>
      <c r="L134" s="163"/>
      <c r="M134" s="163"/>
      <c r="N134" s="163"/>
      <c r="O134" s="163"/>
      <c r="P134" s="163"/>
      <c r="Q134" s="162"/>
      <c r="R134" s="162"/>
      <c r="S134" s="162"/>
      <c r="T134" s="163"/>
      <c r="U134" s="162"/>
      <c r="V134" s="162"/>
      <c r="W134" s="162"/>
      <c r="X134" s="162"/>
      <c r="Y134" s="162"/>
      <c r="Z134" s="162"/>
      <c r="AA134" s="162"/>
      <c r="AB134" s="162"/>
      <c r="AC134" s="162"/>
      <c r="AD134" s="162"/>
      <c r="AE134" s="162"/>
    </row>
    <row r="135" spans="1:31" s="924" customFormat="1">
      <c r="A135" s="162"/>
      <c r="B135" s="1764"/>
      <c r="C135" s="163"/>
      <c r="D135" s="163"/>
      <c r="E135" s="163"/>
      <c r="F135" s="163"/>
      <c r="G135" s="163"/>
      <c r="H135" s="163"/>
      <c r="I135" s="163"/>
      <c r="J135" s="163"/>
      <c r="K135" s="163"/>
      <c r="L135" s="163"/>
      <c r="M135" s="163"/>
      <c r="N135" s="163"/>
      <c r="O135" s="163"/>
      <c r="P135" s="163"/>
      <c r="Q135" s="162"/>
      <c r="R135" s="162"/>
      <c r="S135" s="162"/>
      <c r="T135" s="163"/>
      <c r="U135" s="162"/>
      <c r="V135" s="162"/>
      <c r="W135" s="162"/>
      <c r="X135" s="162"/>
      <c r="Y135" s="162"/>
      <c r="Z135" s="162"/>
      <c r="AA135" s="162"/>
      <c r="AB135" s="162"/>
      <c r="AC135" s="162"/>
      <c r="AD135" s="162"/>
      <c r="AE135" s="162"/>
    </row>
    <row r="136" spans="1:31" s="924" customFormat="1">
      <c r="A136" s="162"/>
      <c r="B136" s="1764"/>
      <c r="C136" s="163"/>
      <c r="D136" s="163"/>
      <c r="E136" s="163"/>
      <c r="F136" s="163"/>
      <c r="G136" s="163"/>
      <c r="H136" s="163"/>
      <c r="I136" s="163"/>
      <c r="J136" s="163"/>
      <c r="K136" s="163"/>
      <c r="L136" s="163"/>
      <c r="M136" s="163"/>
      <c r="N136" s="163"/>
      <c r="O136" s="163"/>
      <c r="P136" s="163"/>
      <c r="Q136" s="162"/>
      <c r="R136" s="162"/>
      <c r="S136" s="162"/>
      <c r="T136" s="163"/>
      <c r="U136" s="162"/>
      <c r="V136" s="162"/>
      <c r="W136" s="162"/>
      <c r="X136" s="162"/>
      <c r="Y136" s="162"/>
      <c r="Z136" s="162"/>
      <c r="AA136" s="162"/>
      <c r="AB136" s="162"/>
      <c r="AC136" s="162"/>
      <c r="AD136" s="162"/>
      <c r="AE136" s="162"/>
    </row>
    <row r="137" spans="1:31" s="924" customFormat="1">
      <c r="A137" s="162"/>
      <c r="B137" s="1764"/>
      <c r="C137" s="163"/>
      <c r="D137" s="163"/>
      <c r="E137" s="163"/>
      <c r="F137" s="163"/>
      <c r="G137" s="163"/>
      <c r="H137" s="163"/>
      <c r="I137" s="163"/>
      <c r="J137" s="163"/>
      <c r="K137" s="163"/>
      <c r="L137" s="163"/>
      <c r="M137" s="163"/>
      <c r="N137" s="163"/>
      <c r="O137" s="163"/>
      <c r="P137" s="163"/>
      <c r="Q137" s="162"/>
      <c r="R137" s="162"/>
      <c r="S137" s="162"/>
      <c r="T137" s="163"/>
      <c r="U137" s="162"/>
      <c r="V137" s="162"/>
      <c r="W137" s="162"/>
      <c r="X137" s="162"/>
      <c r="Y137" s="162"/>
      <c r="Z137" s="162"/>
      <c r="AA137" s="162"/>
      <c r="AB137" s="162"/>
      <c r="AC137" s="162"/>
      <c r="AD137" s="162"/>
      <c r="AE137" s="162"/>
    </row>
    <row r="138" spans="1:31" s="924" customFormat="1">
      <c r="A138" s="162"/>
      <c r="B138" s="1764"/>
      <c r="C138" s="163"/>
      <c r="D138" s="163"/>
      <c r="E138" s="163"/>
      <c r="F138" s="163"/>
      <c r="G138" s="163"/>
      <c r="H138" s="163"/>
      <c r="I138" s="163"/>
      <c r="J138" s="163"/>
      <c r="K138" s="163"/>
      <c r="L138" s="163"/>
      <c r="M138" s="163"/>
      <c r="N138" s="163"/>
      <c r="O138" s="163"/>
      <c r="P138" s="163"/>
      <c r="Q138" s="162"/>
      <c r="R138" s="162"/>
      <c r="S138" s="162"/>
      <c r="T138" s="163"/>
      <c r="U138" s="162"/>
      <c r="V138" s="162"/>
      <c r="W138" s="162"/>
      <c r="X138" s="162"/>
      <c r="Y138" s="162"/>
      <c r="Z138" s="162"/>
      <c r="AA138" s="162"/>
      <c r="AB138" s="162"/>
      <c r="AC138" s="162"/>
      <c r="AD138" s="162"/>
      <c r="AE138" s="162"/>
    </row>
    <row r="139" spans="1:31" s="924" customFormat="1">
      <c r="A139" s="162"/>
      <c r="B139" s="1764"/>
      <c r="C139" s="163"/>
      <c r="D139" s="163"/>
      <c r="E139" s="163"/>
      <c r="F139" s="163"/>
      <c r="G139" s="163"/>
      <c r="H139" s="163"/>
      <c r="I139" s="163"/>
      <c r="J139" s="163"/>
      <c r="K139" s="163"/>
      <c r="L139" s="163"/>
      <c r="M139" s="163"/>
      <c r="N139" s="163"/>
      <c r="O139" s="163"/>
      <c r="P139" s="163"/>
      <c r="Q139" s="162"/>
      <c r="R139" s="162"/>
      <c r="S139" s="162"/>
      <c r="T139" s="163"/>
      <c r="U139" s="162"/>
      <c r="V139" s="162"/>
      <c r="W139" s="162"/>
      <c r="X139" s="162"/>
      <c r="Y139" s="162"/>
      <c r="Z139" s="162"/>
      <c r="AA139" s="162"/>
      <c r="AB139" s="162"/>
      <c r="AC139" s="162"/>
      <c r="AD139" s="162"/>
      <c r="AE139" s="162"/>
    </row>
    <row r="140" spans="1:31" s="924" customFormat="1">
      <c r="A140" s="162"/>
      <c r="B140" s="1764"/>
      <c r="C140" s="163"/>
      <c r="D140" s="163"/>
      <c r="E140" s="163"/>
      <c r="F140" s="163"/>
      <c r="G140" s="163"/>
      <c r="H140" s="163"/>
      <c r="I140" s="163"/>
      <c r="J140" s="163"/>
      <c r="K140" s="163"/>
      <c r="L140" s="163"/>
      <c r="M140" s="163"/>
      <c r="N140" s="163"/>
      <c r="O140" s="163"/>
      <c r="P140" s="163"/>
      <c r="Q140" s="162"/>
      <c r="R140" s="162"/>
      <c r="S140" s="162"/>
      <c r="T140" s="163"/>
      <c r="U140" s="162"/>
      <c r="V140" s="162"/>
      <c r="W140" s="162"/>
      <c r="X140" s="162"/>
      <c r="Y140" s="162"/>
      <c r="Z140" s="162"/>
      <c r="AA140" s="162"/>
      <c r="AB140" s="162"/>
      <c r="AC140" s="162"/>
      <c r="AD140" s="162"/>
      <c r="AE140" s="162"/>
    </row>
    <row r="141" spans="1:31" s="924" customFormat="1">
      <c r="A141" s="162"/>
      <c r="B141" s="1764"/>
      <c r="C141" s="163"/>
      <c r="D141" s="163"/>
      <c r="E141" s="163"/>
      <c r="F141" s="163"/>
      <c r="G141" s="163"/>
      <c r="H141" s="163"/>
      <c r="I141" s="163"/>
      <c r="J141" s="163"/>
      <c r="K141" s="163"/>
      <c r="L141" s="163"/>
      <c r="M141" s="163"/>
      <c r="N141" s="163"/>
      <c r="O141" s="163"/>
      <c r="P141" s="163"/>
      <c r="Q141" s="162"/>
      <c r="R141" s="162"/>
      <c r="S141" s="162"/>
      <c r="T141" s="163"/>
      <c r="U141" s="162"/>
      <c r="V141" s="162"/>
      <c r="W141" s="162"/>
      <c r="X141" s="162"/>
      <c r="Y141" s="162"/>
      <c r="Z141" s="162"/>
      <c r="AA141" s="162"/>
      <c r="AB141" s="162"/>
      <c r="AC141" s="162"/>
      <c r="AD141" s="162"/>
      <c r="AE141" s="162"/>
    </row>
    <row r="142" spans="1:31" s="924" customFormat="1">
      <c r="A142" s="162"/>
      <c r="B142" s="1764"/>
      <c r="C142" s="163"/>
      <c r="D142" s="163"/>
      <c r="E142" s="163"/>
      <c r="F142" s="163"/>
      <c r="G142" s="163"/>
      <c r="H142" s="163"/>
      <c r="I142" s="163"/>
      <c r="J142" s="163"/>
      <c r="K142" s="163"/>
      <c r="L142" s="163"/>
      <c r="M142" s="163"/>
      <c r="N142" s="163"/>
      <c r="O142" s="163"/>
      <c r="P142" s="163"/>
      <c r="Q142" s="162"/>
      <c r="R142" s="162"/>
      <c r="S142" s="162"/>
      <c r="T142" s="163"/>
      <c r="U142" s="162"/>
      <c r="V142" s="162"/>
      <c r="W142" s="162"/>
      <c r="X142" s="162"/>
      <c r="Y142" s="162"/>
      <c r="Z142" s="162"/>
      <c r="AA142" s="162"/>
      <c r="AB142" s="162"/>
      <c r="AC142" s="162"/>
      <c r="AD142" s="162"/>
      <c r="AE142" s="162"/>
    </row>
    <row r="143" spans="1:31" s="924" customFormat="1">
      <c r="A143" s="162"/>
      <c r="B143" s="1764"/>
      <c r="C143" s="163"/>
      <c r="D143" s="163"/>
      <c r="E143" s="163"/>
      <c r="F143" s="163"/>
      <c r="G143" s="163"/>
      <c r="H143" s="163"/>
      <c r="I143" s="163"/>
      <c r="J143" s="163"/>
      <c r="K143" s="163"/>
      <c r="L143" s="163"/>
      <c r="M143" s="163"/>
      <c r="N143" s="163"/>
      <c r="O143" s="163"/>
      <c r="P143" s="163"/>
      <c r="Q143" s="162"/>
      <c r="R143" s="162"/>
      <c r="S143" s="162"/>
      <c r="T143" s="163"/>
      <c r="U143" s="162"/>
      <c r="V143" s="162"/>
      <c r="W143" s="162"/>
      <c r="X143" s="162"/>
      <c r="Y143" s="162"/>
      <c r="Z143" s="162"/>
      <c r="AA143" s="162"/>
      <c r="AB143" s="162"/>
      <c r="AC143" s="162"/>
      <c r="AD143" s="162"/>
      <c r="AE143" s="162"/>
    </row>
    <row r="144" spans="1:31" s="924" customFormat="1">
      <c r="A144" s="162"/>
      <c r="B144" s="1764"/>
      <c r="C144" s="163"/>
      <c r="D144" s="163"/>
      <c r="E144" s="163"/>
      <c r="F144" s="163"/>
      <c r="G144" s="163"/>
      <c r="H144" s="163"/>
      <c r="I144" s="163"/>
      <c r="J144" s="163"/>
      <c r="K144" s="163"/>
      <c r="L144" s="163"/>
      <c r="M144" s="163"/>
      <c r="N144" s="163"/>
      <c r="O144" s="163"/>
      <c r="P144" s="163"/>
      <c r="Q144" s="162"/>
      <c r="R144" s="162"/>
      <c r="S144" s="162"/>
      <c r="T144" s="163"/>
      <c r="U144" s="162"/>
      <c r="V144" s="162"/>
      <c r="W144" s="162"/>
      <c r="X144" s="162"/>
      <c r="Y144" s="162"/>
      <c r="Z144" s="162"/>
      <c r="AA144" s="162"/>
      <c r="AB144" s="162"/>
      <c r="AC144" s="162"/>
      <c r="AD144" s="162"/>
      <c r="AE144" s="162"/>
    </row>
    <row r="145" spans="1:31" s="924" customFormat="1">
      <c r="A145" s="162"/>
      <c r="B145" s="1764"/>
      <c r="C145" s="163"/>
      <c r="D145" s="163"/>
      <c r="E145" s="163"/>
      <c r="F145" s="163"/>
      <c r="G145" s="163"/>
      <c r="H145" s="163"/>
      <c r="I145" s="163"/>
      <c r="J145" s="163"/>
      <c r="K145" s="163"/>
      <c r="L145" s="163"/>
      <c r="M145" s="163"/>
      <c r="N145" s="163"/>
      <c r="O145" s="163"/>
      <c r="P145" s="163"/>
      <c r="Q145" s="162"/>
      <c r="R145" s="162"/>
      <c r="S145" s="162"/>
      <c r="T145" s="163"/>
      <c r="U145" s="162"/>
      <c r="V145" s="162"/>
      <c r="W145" s="162"/>
      <c r="X145" s="162"/>
      <c r="Y145" s="162"/>
      <c r="Z145" s="162"/>
      <c r="AA145" s="162"/>
      <c r="AB145" s="162"/>
      <c r="AC145" s="162"/>
      <c r="AD145" s="162"/>
      <c r="AE145" s="162"/>
    </row>
    <row r="146" spans="1:31" s="924" customFormat="1">
      <c r="A146" s="162"/>
      <c r="B146" s="1764"/>
      <c r="C146" s="163"/>
      <c r="D146" s="163"/>
      <c r="E146" s="163"/>
      <c r="F146" s="163"/>
      <c r="G146" s="163"/>
      <c r="H146" s="163"/>
      <c r="I146" s="163"/>
      <c r="J146" s="163"/>
      <c r="K146" s="163"/>
      <c r="L146" s="163"/>
      <c r="M146" s="163"/>
      <c r="N146" s="163"/>
      <c r="O146" s="163"/>
      <c r="P146" s="163"/>
      <c r="Q146" s="162"/>
      <c r="R146" s="162"/>
      <c r="S146" s="162"/>
      <c r="T146" s="163"/>
      <c r="U146" s="162"/>
      <c r="V146" s="162"/>
      <c r="W146" s="162"/>
      <c r="X146" s="162"/>
      <c r="Y146" s="162"/>
      <c r="Z146" s="162"/>
      <c r="AA146" s="162"/>
      <c r="AB146" s="162"/>
      <c r="AC146" s="162"/>
      <c r="AD146" s="162"/>
      <c r="AE146" s="162"/>
    </row>
    <row r="147" spans="1:31" s="924" customFormat="1">
      <c r="A147" s="162"/>
      <c r="B147" s="1764"/>
      <c r="C147" s="163"/>
      <c r="D147" s="163"/>
      <c r="E147" s="163"/>
      <c r="F147" s="163"/>
      <c r="G147" s="163"/>
      <c r="H147" s="163"/>
      <c r="I147" s="163"/>
      <c r="J147" s="163"/>
      <c r="K147" s="163"/>
      <c r="L147" s="163"/>
      <c r="M147" s="163"/>
      <c r="N147" s="163"/>
      <c r="O147" s="163"/>
      <c r="P147" s="163"/>
      <c r="Q147" s="162"/>
      <c r="R147" s="162"/>
      <c r="S147" s="162"/>
      <c r="T147" s="163"/>
      <c r="U147" s="162"/>
      <c r="V147" s="162"/>
      <c r="W147" s="162"/>
      <c r="X147" s="162"/>
      <c r="Y147" s="162"/>
      <c r="Z147" s="162"/>
      <c r="AA147" s="162"/>
      <c r="AB147" s="162"/>
      <c r="AC147" s="162"/>
      <c r="AD147" s="162"/>
      <c r="AE147" s="162"/>
    </row>
    <row r="148" spans="1:31" s="924" customFormat="1">
      <c r="A148" s="162"/>
      <c r="B148" s="1764"/>
      <c r="C148" s="163"/>
      <c r="D148" s="163"/>
      <c r="E148" s="163"/>
      <c r="F148" s="163"/>
      <c r="G148" s="163"/>
      <c r="H148" s="163"/>
      <c r="I148" s="163"/>
      <c r="J148" s="163"/>
      <c r="K148" s="163"/>
      <c r="L148" s="163"/>
      <c r="M148" s="163"/>
      <c r="N148" s="163"/>
      <c r="O148" s="163"/>
      <c r="P148" s="163"/>
      <c r="Q148" s="162"/>
      <c r="R148" s="162"/>
      <c r="S148" s="162"/>
      <c r="T148" s="163"/>
      <c r="U148" s="162"/>
      <c r="V148" s="162"/>
      <c r="W148" s="162"/>
      <c r="X148" s="162"/>
      <c r="Y148" s="162"/>
      <c r="Z148" s="162"/>
      <c r="AA148" s="162"/>
      <c r="AB148" s="162"/>
      <c r="AC148" s="162"/>
      <c r="AD148" s="162"/>
      <c r="AE148" s="162"/>
    </row>
    <row r="149" spans="1:31" s="924" customFormat="1">
      <c r="A149" s="162"/>
      <c r="B149" s="1764"/>
      <c r="C149" s="163"/>
      <c r="D149" s="163"/>
      <c r="E149" s="163"/>
      <c r="F149" s="163"/>
      <c r="G149" s="163"/>
      <c r="H149" s="163"/>
      <c r="I149" s="163"/>
      <c r="J149" s="163"/>
      <c r="K149" s="163"/>
      <c r="L149" s="163"/>
      <c r="M149" s="163"/>
      <c r="N149" s="163"/>
      <c r="O149" s="163"/>
      <c r="P149" s="163"/>
      <c r="Q149" s="162"/>
      <c r="R149" s="162"/>
      <c r="S149" s="162"/>
      <c r="T149" s="163"/>
      <c r="U149" s="162"/>
      <c r="V149" s="162"/>
      <c r="W149" s="162"/>
      <c r="X149" s="162"/>
      <c r="Y149" s="162"/>
      <c r="Z149" s="162"/>
      <c r="AA149" s="162"/>
      <c r="AB149" s="162"/>
      <c r="AC149" s="162"/>
      <c r="AD149" s="162"/>
      <c r="AE149" s="162"/>
    </row>
    <row r="150" spans="1:31" s="924" customFormat="1">
      <c r="A150" s="162"/>
      <c r="B150" s="1764"/>
      <c r="C150" s="163"/>
      <c r="D150" s="163"/>
      <c r="E150" s="163"/>
      <c r="F150" s="163"/>
      <c r="G150" s="163"/>
      <c r="H150" s="163"/>
      <c r="I150" s="163"/>
      <c r="J150" s="163"/>
      <c r="K150" s="163"/>
      <c r="L150" s="163"/>
      <c r="M150" s="163"/>
      <c r="N150" s="163"/>
      <c r="O150" s="163"/>
      <c r="P150" s="163"/>
      <c r="Q150" s="162"/>
      <c r="R150" s="162"/>
      <c r="S150" s="162"/>
      <c r="T150" s="163"/>
      <c r="U150" s="162"/>
      <c r="V150" s="162"/>
      <c r="W150" s="162"/>
      <c r="X150" s="162"/>
      <c r="Y150" s="162"/>
      <c r="Z150" s="162"/>
      <c r="AA150" s="162"/>
      <c r="AB150" s="162"/>
      <c r="AC150" s="162"/>
      <c r="AD150" s="162"/>
      <c r="AE150" s="162"/>
    </row>
    <row r="151" spans="1:31" s="924" customFormat="1">
      <c r="A151" s="162"/>
      <c r="B151" s="1764"/>
      <c r="C151" s="163"/>
      <c r="D151" s="163"/>
      <c r="E151" s="163"/>
      <c r="F151" s="163"/>
      <c r="G151" s="163"/>
      <c r="H151" s="163"/>
      <c r="I151" s="163"/>
      <c r="J151" s="163"/>
      <c r="K151" s="163"/>
      <c r="L151" s="163"/>
      <c r="M151" s="163"/>
      <c r="N151" s="163"/>
      <c r="O151" s="163"/>
      <c r="P151" s="163"/>
      <c r="Q151" s="162"/>
      <c r="R151" s="162"/>
      <c r="S151" s="162"/>
      <c r="T151" s="163"/>
      <c r="U151" s="162"/>
      <c r="V151" s="162"/>
      <c r="W151" s="162"/>
      <c r="X151" s="162"/>
      <c r="Y151" s="162"/>
      <c r="Z151" s="162"/>
      <c r="AA151" s="162"/>
      <c r="AB151" s="162"/>
      <c r="AC151" s="162"/>
      <c r="AD151" s="162"/>
      <c r="AE151" s="162"/>
    </row>
    <row r="152" spans="1:31" s="924" customFormat="1">
      <c r="A152" s="162"/>
      <c r="B152" s="1764"/>
      <c r="C152" s="163"/>
      <c r="D152" s="163"/>
      <c r="E152" s="163"/>
      <c r="F152" s="163"/>
      <c r="G152" s="163"/>
      <c r="H152" s="163"/>
      <c r="I152" s="163"/>
      <c r="J152" s="163"/>
      <c r="K152" s="163"/>
      <c r="L152" s="163"/>
      <c r="M152" s="163"/>
      <c r="N152" s="163"/>
      <c r="O152" s="163"/>
      <c r="P152" s="163"/>
      <c r="Q152" s="162"/>
      <c r="R152" s="162"/>
      <c r="S152" s="162"/>
      <c r="T152" s="163"/>
      <c r="U152" s="162"/>
      <c r="V152" s="162"/>
      <c r="W152" s="162"/>
      <c r="X152" s="162"/>
      <c r="Y152" s="162"/>
      <c r="Z152" s="162"/>
      <c r="AA152" s="162"/>
      <c r="AB152" s="162"/>
      <c r="AC152" s="162"/>
      <c r="AD152" s="162"/>
      <c r="AE152" s="162"/>
    </row>
    <row r="153" spans="1:31" s="924" customFormat="1">
      <c r="A153" s="162"/>
      <c r="B153" s="1764"/>
      <c r="C153" s="163"/>
      <c r="D153" s="163"/>
      <c r="E153" s="163"/>
      <c r="F153" s="163"/>
      <c r="G153" s="163"/>
      <c r="H153" s="163"/>
      <c r="I153" s="163"/>
      <c r="J153" s="163"/>
      <c r="K153" s="163"/>
      <c r="L153" s="163"/>
      <c r="M153" s="163"/>
      <c r="N153" s="163"/>
      <c r="O153" s="163"/>
      <c r="P153" s="163"/>
      <c r="Q153" s="162"/>
      <c r="R153" s="162"/>
      <c r="S153" s="162"/>
      <c r="T153" s="163"/>
      <c r="U153" s="162"/>
      <c r="V153" s="162"/>
      <c r="W153" s="162"/>
      <c r="X153" s="162"/>
      <c r="Y153" s="162"/>
      <c r="Z153" s="162"/>
      <c r="AA153" s="162"/>
      <c r="AB153" s="162"/>
      <c r="AC153" s="162"/>
      <c r="AD153" s="162"/>
      <c r="AE153" s="162"/>
    </row>
    <row r="154" spans="1:31" s="924" customFormat="1">
      <c r="A154" s="162"/>
      <c r="B154" s="1764"/>
      <c r="C154" s="163"/>
      <c r="D154" s="163"/>
      <c r="E154" s="163"/>
      <c r="F154" s="163"/>
      <c r="G154" s="163"/>
      <c r="H154" s="163"/>
      <c r="I154" s="163"/>
      <c r="J154" s="163"/>
      <c r="K154" s="163"/>
      <c r="L154" s="163"/>
      <c r="M154" s="163"/>
      <c r="N154" s="163"/>
      <c r="O154" s="163"/>
      <c r="P154" s="163"/>
      <c r="Q154" s="162"/>
      <c r="R154" s="162"/>
      <c r="S154" s="162"/>
      <c r="T154" s="163"/>
      <c r="U154" s="162"/>
      <c r="V154" s="162"/>
      <c r="W154" s="162"/>
      <c r="X154" s="162"/>
      <c r="Y154" s="162"/>
      <c r="Z154" s="162"/>
      <c r="AA154" s="162"/>
      <c r="AB154" s="162"/>
      <c r="AC154" s="162"/>
      <c r="AD154" s="162"/>
      <c r="AE154" s="162"/>
    </row>
    <row r="155" spans="1:31" s="924" customFormat="1">
      <c r="A155" s="162"/>
      <c r="B155" s="1764"/>
      <c r="C155" s="163"/>
      <c r="D155" s="163"/>
      <c r="E155" s="163"/>
      <c r="F155" s="163"/>
      <c r="G155" s="163"/>
      <c r="H155" s="163"/>
      <c r="I155" s="163"/>
      <c r="J155" s="163"/>
      <c r="K155" s="163"/>
      <c r="L155" s="163"/>
      <c r="M155" s="163"/>
      <c r="N155" s="163"/>
      <c r="O155" s="163"/>
      <c r="P155" s="163"/>
      <c r="Q155" s="162"/>
      <c r="R155" s="162"/>
      <c r="S155" s="162"/>
      <c r="T155" s="163"/>
      <c r="U155" s="162"/>
      <c r="V155" s="162"/>
      <c r="W155" s="162"/>
      <c r="X155" s="162"/>
      <c r="Y155" s="162"/>
      <c r="Z155" s="162"/>
      <c r="AA155" s="162"/>
      <c r="AB155" s="162"/>
      <c r="AC155" s="162"/>
      <c r="AD155" s="162"/>
      <c r="AE155" s="162"/>
    </row>
    <row r="156" spans="1:31" s="924" customFormat="1">
      <c r="A156" s="162"/>
      <c r="B156" s="1764"/>
      <c r="C156" s="163"/>
      <c r="D156" s="163"/>
      <c r="E156" s="163"/>
      <c r="F156" s="163"/>
      <c r="G156" s="163"/>
      <c r="H156" s="163"/>
      <c r="I156" s="163"/>
      <c r="J156" s="163"/>
      <c r="K156" s="163"/>
      <c r="L156" s="163"/>
      <c r="M156" s="163"/>
      <c r="N156" s="163"/>
      <c r="O156" s="163"/>
      <c r="P156" s="163"/>
      <c r="Q156" s="162"/>
      <c r="R156" s="162"/>
      <c r="S156" s="162"/>
      <c r="T156" s="163"/>
      <c r="U156" s="162"/>
      <c r="V156" s="162"/>
      <c r="W156" s="162"/>
      <c r="X156" s="162"/>
      <c r="Y156" s="162"/>
      <c r="Z156" s="162"/>
      <c r="AA156" s="162"/>
      <c r="AB156" s="162"/>
      <c r="AC156" s="162"/>
      <c r="AD156" s="162"/>
      <c r="AE156" s="162"/>
    </row>
    <row r="157" spans="1:31" s="924" customFormat="1">
      <c r="A157" s="162"/>
      <c r="B157" s="1764"/>
      <c r="C157" s="163"/>
      <c r="D157" s="163"/>
      <c r="E157" s="163"/>
      <c r="F157" s="163"/>
      <c r="G157" s="163"/>
      <c r="H157" s="163"/>
      <c r="I157" s="163"/>
      <c r="J157" s="163"/>
      <c r="K157" s="163"/>
      <c r="L157" s="163"/>
      <c r="M157" s="163"/>
      <c r="N157" s="163"/>
      <c r="O157" s="163"/>
      <c r="P157" s="163"/>
      <c r="Q157" s="162"/>
      <c r="R157" s="162"/>
      <c r="S157" s="162"/>
      <c r="T157" s="163"/>
      <c r="U157" s="162"/>
      <c r="V157" s="162"/>
      <c r="W157" s="162"/>
      <c r="X157" s="162"/>
      <c r="Y157" s="162"/>
      <c r="Z157" s="162"/>
      <c r="AA157" s="162"/>
      <c r="AB157" s="162"/>
      <c r="AC157" s="162"/>
      <c r="AD157" s="162"/>
      <c r="AE157" s="162"/>
    </row>
    <row r="158" spans="1:31" s="924" customFormat="1">
      <c r="A158" s="162"/>
      <c r="B158" s="1764"/>
      <c r="C158" s="163"/>
      <c r="D158" s="163"/>
      <c r="E158" s="163"/>
      <c r="F158" s="163"/>
      <c r="G158" s="163"/>
      <c r="H158" s="163"/>
      <c r="I158" s="163"/>
      <c r="J158" s="163"/>
      <c r="K158" s="163"/>
      <c r="L158" s="163"/>
      <c r="M158" s="163"/>
      <c r="N158" s="163"/>
      <c r="O158" s="163"/>
      <c r="P158" s="163"/>
      <c r="Q158" s="162"/>
      <c r="R158" s="162"/>
      <c r="S158" s="162"/>
      <c r="T158" s="163"/>
      <c r="U158" s="162"/>
      <c r="V158" s="162"/>
      <c r="W158" s="162"/>
      <c r="X158" s="162"/>
      <c r="Y158" s="162"/>
      <c r="Z158" s="162"/>
      <c r="AA158" s="162"/>
      <c r="AB158" s="162"/>
      <c r="AC158" s="162"/>
      <c r="AD158" s="162"/>
      <c r="AE158" s="162"/>
    </row>
    <row r="159" spans="1:31" s="924" customFormat="1">
      <c r="A159" s="162"/>
      <c r="B159" s="1764"/>
      <c r="C159" s="163"/>
      <c r="D159" s="163"/>
      <c r="E159" s="163"/>
      <c r="F159" s="163"/>
      <c r="G159" s="163"/>
      <c r="H159" s="163"/>
      <c r="I159" s="163"/>
      <c r="J159" s="163"/>
      <c r="K159" s="163"/>
      <c r="L159" s="163"/>
      <c r="M159" s="163"/>
      <c r="N159" s="163"/>
      <c r="O159" s="163"/>
      <c r="P159" s="163"/>
      <c r="Q159" s="162"/>
      <c r="R159" s="162"/>
      <c r="S159" s="162"/>
      <c r="T159" s="163"/>
      <c r="U159" s="162"/>
      <c r="V159" s="162"/>
      <c r="W159" s="162"/>
      <c r="X159" s="162"/>
      <c r="Y159" s="162"/>
      <c r="Z159" s="162"/>
      <c r="AA159" s="162"/>
      <c r="AB159" s="162"/>
      <c r="AC159" s="162"/>
      <c r="AD159" s="162"/>
      <c r="AE159" s="162"/>
    </row>
    <row r="160" spans="1:31" s="924" customFormat="1">
      <c r="A160" s="162"/>
      <c r="B160" s="1764"/>
      <c r="C160" s="163"/>
      <c r="D160" s="163"/>
      <c r="E160" s="163"/>
      <c r="F160" s="163"/>
      <c r="G160" s="163"/>
      <c r="H160" s="163"/>
      <c r="I160" s="163"/>
      <c r="J160" s="163"/>
      <c r="K160" s="163"/>
      <c r="L160" s="163"/>
      <c r="M160" s="163"/>
      <c r="N160" s="163"/>
      <c r="O160" s="163"/>
      <c r="P160" s="163"/>
      <c r="Q160" s="162"/>
      <c r="R160" s="162"/>
      <c r="S160" s="162"/>
      <c r="T160" s="163"/>
      <c r="U160" s="162"/>
      <c r="V160" s="162"/>
      <c r="W160" s="162"/>
      <c r="X160" s="162"/>
      <c r="Y160" s="162"/>
      <c r="Z160" s="162"/>
      <c r="AA160" s="162"/>
      <c r="AB160" s="162"/>
      <c r="AC160" s="162"/>
      <c r="AD160" s="162"/>
      <c r="AE160" s="162"/>
    </row>
    <row r="161" spans="1:31" s="924" customFormat="1">
      <c r="A161" s="162"/>
      <c r="B161" s="1764"/>
      <c r="C161" s="163"/>
      <c r="D161" s="163"/>
      <c r="E161" s="163"/>
      <c r="F161" s="163"/>
      <c r="G161" s="163"/>
      <c r="H161" s="163"/>
      <c r="I161" s="163"/>
      <c r="J161" s="163"/>
      <c r="K161" s="163"/>
      <c r="L161" s="163"/>
      <c r="M161" s="163"/>
      <c r="N161" s="163"/>
      <c r="O161" s="163"/>
      <c r="P161" s="163"/>
      <c r="Q161" s="162"/>
      <c r="R161" s="162"/>
      <c r="S161" s="162"/>
      <c r="T161" s="163"/>
      <c r="U161" s="162"/>
      <c r="V161" s="162"/>
      <c r="W161" s="162"/>
      <c r="X161" s="162"/>
      <c r="Y161" s="162"/>
      <c r="Z161" s="162"/>
      <c r="AA161" s="162"/>
      <c r="AB161" s="162"/>
      <c r="AC161" s="162"/>
      <c r="AD161" s="162"/>
      <c r="AE161" s="162"/>
    </row>
    <row r="162" spans="1:31" s="924" customFormat="1">
      <c r="A162" s="162"/>
      <c r="B162" s="1764"/>
      <c r="C162" s="163"/>
      <c r="D162" s="163"/>
      <c r="E162" s="163"/>
      <c r="F162" s="163"/>
      <c r="G162" s="163"/>
      <c r="H162" s="163"/>
      <c r="I162" s="163"/>
      <c r="J162" s="163"/>
      <c r="K162" s="163"/>
      <c r="L162" s="163"/>
      <c r="M162" s="163"/>
      <c r="N162" s="163"/>
      <c r="O162" s="163"/>
      <c r="P162" s="163"/>
      <c r="Q162" s="162"/>
      <c r="R162" s="162"/>
      <c r="S162" s="162"/>
      <c r="T162" s="163"/>
      <c r="U162" s="162"/>
      <c r="V162" s="162"/>
      <c r="W162" s="162"/>
      <c r="X162" s="162"/>
      <c r="Y162" s="162"/>
      <c r="Z162" s="162"/>
      <c r="AA162" s="162"/>
      <c r="AB162" s="162"/>
      <c r="AC162" s="162"/>
      <c r="AD162" s="162"/>
      <c r="AE162" s="162"/>
    </row>
    <row r="163" spans="1:31" s="924" customFormat="1">
      <c r="A163" s="162"/>
      <c r="B163" s="1764"/>
      <c r="C163" s="163"/>
      <c r="D163" s="163"/>
      <c r="E163" s="163"/>
      <c r="F163" s="163"/>
      <c r="G163" s="163"/>
      <c r="H163" s="163"/>
      <c r="I163" s="163"/>
      <c r="J163" s="163"/>
      <c r="K163" s="163"/>
      <c r="L163" s="163"/>
      <c r="M163" s="163"/>
      <c r="N163" s="163"/>
      <c r="O163" s="163"/>
      <c r="P163" s="163"/>
      <c r="Q163" s="162"/>
      <c r="R163" s="162"/>
      <c r="S163" s="162"/>
      <c r="T163" s="163"/>
      <c r="U163" s="162"/>
      <c r="V163" s="162"/>
      <c r="W163" s="162"/>
      <c r="X163" s="162"/>
      <c r="Y163" s="162"/>
      <c r="Z163" s="162"/>
      <c r="AA163" s="162"/>
      <c r="AB163" s="162"/>
      <c r="AC163" s="162"/>
      <c r="AD163" s="162"/>
      <c r="AE163" s="162"/>
    </row>
    <row r="164" spans="1:31" s="924" customFormat="1">
      <c r="A164" s="162"/>
      <c r="B164" s="1764"/>
      <c r="C164" s="163"/>
      <c r="D164" s="163"/>
      <c r="E164" s="163"/>
      <c r="F164" s="163"/>
      <c r="G164" s="163"/>
      <c r="H164" s="163"/>
      <c r="I164" s="163"/>
      <c r="J164" s="163"/>
      <c r="K164" s="163"/>
      <c r="L164" s="163"/>
      <c r="M164" s="163"/>
      <c r="N164" s="163"/>
      <c r="O164" s="163"/>
      <c r="P164" s="163"/>
      <c r="Q164" s="162"/>
      <c r="R164" s="162"/>
      <c r="S164" s="162"/>
      <c r="T164" s="163"/>
      <c r="U164" s="162"/>
      <c r="V164" s="162"/>
      <c r="W164" s="162"/>
      <c r="X164" s="162"/>
      <c r="Y164" s="162"/>
      <c r="Z164" s="162"/>
      <c r="AA164" s="162"/>
      <c r="AB164" s="162"/>
      <c r="AC164" s="162"/>
      <c r="AD164" s="162"/>
      <c r="AE164" s="162"/>
    </row>
    <row r="165" spans="1:31" s="924" customFormat="1">
      <c r="A165" s="162"/>
      <c r="B165" s="1764"/>
      <c r="C165" s="163"/>
      <c r="D165" s="163"/>
      <c r="E165" s="163"/>
      <c r="F165" s="163"/>
      <c r="G165" s="163"/>
      <c r="H165" s="163"/>
      <c r="I165" s="163"/>
      <c r="J165" s="163"/>
      <c r="K165" s="163"/>
      <c r="L165" s="163"/>
      <c r="M165" s="163"/>
      <c r="N165" s="163"/>
      <c r="O165" s="163"/>
      <c r="P165" s="163"/>
      <c r="Q165" s="162"/>
      <c r="R165" s="162"/>
      <c r="S165" s="162"/>
      <c r="T165" s="163"/>
      <c r="U165" s="162"/>
      <c r="V165" s="162"/>
      <c r="W165" s="162"/>
      <c r="X165" s="162"/>
      <c r="Y165" s="162"/>
      <c r="Z165" s="162"/>
      <c r="AA165" s="162"/>
      <c r="AB165" s="162"/>
      <c r="AC165" s="162"/>
      <c r="AD165" s="162"/>
      <c r="AE165" s="162"/>
    </row>
    <row r="166" spans="1:31" s="924" customFormat="1">
      <c r="A166" s="162"/>
      <c r="B166" s="1764"/>
      <c r="C166" s="163"/>
      <c r="D166" s="163"/>
      <c r="E166" s="163"/>
      <c r="F166" s="163"/>
      <c r="G166" s="163"/>
      <c r="H166" s="163"/>
      <c r="I166" s="163"/>
      <c r="J166" s="163"/>
      <c r="K166" s="163"/>
      <c r="L166" s="163"/>
      <c r="M166" s="163"/>
      <c r="N166" s="163"/>
      <c r="O166" s="163"/>
      <c r="P166" s="163"/>
      <c r="Q166" s="162"/>
      <c r="R166" s="162"/>
      <c r="S166" s="162"/>
      <c r="T166" s="163"/>
      <c r="U166" s="162"/>
      <c r="V166" s="162"/>
      <c r="W166" s="162"/>
      <c r="X166" s="162"/>
      <c r="Y166" s="162"/>
      <c r="Z166" s="162"/>
      <c r="AA166" s="162"/>
      <c r="AB166" s="162"/>
      <c r="AC166" s="162"/>
      <c r="AD166" s="162"/>
      <c r="AE166" s="162"/>
    </row>
    <row r="167" spans="1:31" s="924" customFormat="1">
      <c r="A167" s="162"/>
      <c r="B167" s="1764"/>
      <c r="C167" s="163"/>
      <c r="D167" s="163"/>
      <c r="E167" s="163"/>
      <c r="F167" s="163"/>
      <c r="G167" s="163"/>
      <c r="H167" s="163"/>
      <c r="I167" s="163"/>
      <c r="J167" s="163"/>
      <c r="K167" s="163"/>
      <c r="L167" s="163"/>
      <c r="M167" s="163"/>
      <c r="N167" s="163"/>
      <c r="O167" s="163"/>
      <c r="P167" s="163"/>
      <c r="Q167" s="162"/>
      <c r="R167" s="162"/>
      <c r="S167" s="162"/>
      <c r="T167" s="163"/>
      <c r="U167" s="162"/>
      <c r="V167" s="162"/>
      <c r="W167" s="162"/>
      <c r="X167" s="162"/>
      <c r="Y167" s="162"/>
      <c r="Z167" s="162"/>
      <c r="AA167" s="162"/>
      <c r="AB167" s="162"/>
      <c r="AC167" s="162"/>
      <c r="AD167" s="162"/>
      <c r="AE167" s="162"/>
    </row>
    <row r="168" spans="1:31" s="924" customFormat="1">
      <c r="A168" s="162"/>
      <c r="B168" s="1764"/>
      <c r="C168" s="163"/>
      <c r="D168" s="163"/>
      <c r="E168" s="163"/>
      <c r="F168" s="163"/>
      <c r="G168" s="163"/>
      <c r="H168" s="163"/>
      <c r="I168" s="163"/>
      <c r="J168" s="163"/>
      <c r="K168" s="163"/>
      <c r="L168" s="163"/>
      <c r="M168" s="163"/>
      <c r="N168" s="163"/>
      <c r="O168" s="163"/>
      <c r="P168" s="163"/>
      <c r="Q168" s="162"/>
      <c r="R168" s="162"/>
      <c r="S168" s="162"/>
      <c r="T168" s="163"/>
      <c r="U168" s="162"/>
      <c r="V168" s="162"/>
      <c r="W168" s="162"/>
      <c r="X168" s="162"/>
      <c r="Y168" s="162"/>
      <c r="Z168" s="162"/>
      <c r="AA168" s="162"/>
      <c r="AB168" s="162"/>
      <c r="AC168" s="162"/>
      <c r="AD168" s="162"/>
      <c r="AE168" s="162"/>
    </row>
    <row r="169" spans="1:31" s="924" customFormat="1">
      <c r="A169" s="162"/>
      <c r="B169" s="1764"/>
      <c r="C169" s="163"/>
      <c r="D169" s="163"/>
      <c r="E169" s="163"/>
      <c r="F169" s="163"/>
      <c r="G169" s="163"/>
      <c r="H169" s="163"/>
      <c r="I169" s="163"/>
      <c r="J169" s="163"/>
      <c r="K169" s="163"/>
      <c r="L169" s="163"/>
      <c r="M169" s="163"/>
      <c r="N169" s="163"/>
      <c r="O169" s="163"/>
      <c r="P169" s="163"/>
      <c r="Q169" s="162"/>
      <c r="R169" s="162"/>
      <c r="S169" s="162"/>
      <c r="T169" s="163"/>
      <c r="U169" s="162"/>
      <c r="V169" s="162"/>
      <c r="W169" s="162"/>
      <c r="X169" s="162"/>
      <c r="Y169" s="162"/>
      <c r="Z169" s="162"/>
      <c r="AA169" s="162"/>
      <c r="AB169" s="162"/>
      <c r="AC169" s="162"/>
      <c r="AD169" s="162"/>
      <c r="AE169" s="162"/>
    </row>
    <row r="170" spans="1:31" s="924" customFormat="1">
      <c r="A170" s="162"/>
      <c r="B170" s="1764"/>
      <c r="C170" s="163"/>
      <c r="D170" s="163"/>
      <c r="E170" s="163"/>
      <c r="F170" s="163"/>
      <c r="G170" s="163"/>
      <c r="H170" s="163"/>
      <c r="I170" s="163"/>
      <c r="J170" s="163"/>
      <c r="K170" s="163"/>
      <c r="L170" s="163"/>
      <c r="M170" s="163"/>
      <c r="N170" s="163"/>
      <c r="O170" s="163"/>
      <c r="P170" s="163"/>
      <c r="Q170" s="162"/>
      <c r="R170" s="162"/>
      <c r="S170" s="162"/>
      <c r="T170" s="163"/>
      <c r="U170" s="162"/>
      <c r="V170" s="162"/>
      <c r="W170" s="162"/>
      <c r="X170" s="162"/>
      <c r="Y170" s="162"/>
      <c r="Z170" s="162"/>
      <c r="AA170" s="162"/>
      <c r="AB170" s="162"/>
      <c r="AC170" s="162"/>
      <c r="AD170" s="162"/>
      <c r="AE170" s="162"/>
    </row>
    <row r="171" spans="1:31" s="924" customFormat="1">
      <c r="A171" s="162"/>
      <c r="B171" s="1764"/>
      <c r="C171" s="163"/>
      <c r="D171" s="163"/>
      <c r="E171" s="163"/>
      <c r="F171" s="163"/>
      <c r="G171" s="163"/>
      <c r="H171" s="163"/>
      <c r="I171" s="163"/>
      <c r="J171" s="163"/>
      <c r="K171" s="163"/>
      <c r="L171" s="163"/>
      <c r="M171" s="163"/>
      <c r="N171" s="163"/>
      <c r="O171" s="163"/>
      <c r="P171" s="163"/>
      <c r="Q171" s="162"/>
      <c r="R171" s="162"/>
      <c r="S171" s="162"/>
      <c r="T171" s="163"/>
      <c r="U171" s="162"/>
      <c r="V171" s="162"/>
      <c r="W171" s="162"/>
      <c r="X171" s="162"/>
      <c r="Y171" s="162"/>
      <c r="Z171" s="162"/>
      <c r="AA171" s="162"/>
      <c r="AB171" s="162"/>
      <c r="AC171" s="162"/>
      <c r="AD171" s="162"/>
      <c r="AE171" s="162"/>
    </row>
    <row r="172" spans="1:31" s="924" customFormat="1">
      <c r="A172" s="162"/>
      <c r="B172" s="1764"/>
      <c r="C172" s="163"/>
      <c r="D172" s="163"/>
      <c r="E172" s="163"/>
      <c r="F172" s="163"/>
      <c r="G172" s="163"/>
      <c r="H172" s="163"/>
      <c r="I172" s="163"/>
      <c r="J172" s="163"/>
      <c r="K172" s="163"/>
      <c r="L172" s="163"/>
      <c r="M172" s="163"/>
      <c r="N172" s="163"/>
      <c r="O172" s="163"/>
      <c r="P172" s="163"/>
      <c r="Q172" s="162"/>
      <c r="R172" s="162"/>
      <c r="S172" s="162"/>
      <c r="T172" s="163"/>
      <c r="U172" s="162"/>
      <c r="V172" s="162"/>
      <c r="W172" s="162"/>
      <c r="X172" s="162"/>
      <c r="Y172" s="162"/>
      <c r="Z172" s="162"/>
      <c r="AA172" s="162"/>
      <c r="AB172" s="162"/>
      <c r="AC172" s="162"/>
      <c r="AD172" s="162"/>
      <c r="AE172" s="162"/>
    </row>
    <row r="173" spans="1:31" s="924" customFormat="1">
      <c r="A173" s="162"/>
      <c r="B173" s="1764"/>
      <c r="C173" s="163"/>
      <c r="D173" s="163"/>
      <c r="E173" s="163"/>
      <c r="F173" s="163"/>
      <c r="G173" s="163"/>
      <c r="H173" s="163"/>
      <c r="I173" s="163"/>
      <c r="J173" s="163"/>
      <c r="K173" s="163"/>
      <c r="L173" s="163"/>
      <c r="M173" s="163"/>
      <c r="N173" s="163"/>
      <c r="O173" s="163"/>
      <c r="P173" s="163"/>
      <c r="Q173" s="162"/>
      <c r="R173" s="162"/>
      <c r="S173" s="162"/>
      <c r="T173" s="163"/>
      <c r="U173" s="162"/>
      <c r="V173" s="162"/>
      <c r="W173" s="162"/>
      <c r="X173" s="162"/>
      <c r="Y173" s="162"/>
      <c r="Z173" s="162"/>
      <c r="AA173" s="162"/>
      <c r="AB173" s="162"/>
      <c r="AC173" s="162"/>
      <c r="AD173" s="162"/>
      <c r="AE173" s="162"/>
    </row>
    <row r="174" spans="1:31" s="924" customFormat="1">
      <c r="A174" s="162"/>
      <c r="B174" s="1764"/>
      <c r="C174" s="163"/>
      <c r="D174" s="163"/>
      <c r="E174" s="163"/>
      <c r="F174" s="163"/>
      <c r="G174" s="163"/>
      <c r="H174" s="163"/>
      <c r="I174" s="163"/>
      <c r="J174" s="163"/>
      <c r="K174" s="163"/>
      <c r="L174" s="163"/>
      <c r="M174" s="163"/>
      <c r="N174" s="163"/>
      <c r="O174" s="163"/>
      <c r="P174" s="163"/>
      <c r="Q174" s="162"/>
      <c r="R174" s="162"/>
      <c r="S174" s="162"/>
      <c r="T174" s="163"/>
      <c r="U174" s="162"/>
      <c r="V174" s="162"/>
      <c r="W174" s="162"/>
      <c r="X174" s="162"/>
      <c r="Y174" s="162"/>
      <c r="Z174" s="162"/>
      <c r="AA174" s="162"/>
      <c r="AB174" s="162"/>
      <c r="AC174" s="162"/>
      <c r="AD174" s="162"/>
      <c r="AE174" s="162"/>
    </row>
    <row r="175" spans="1:31" s="924" customFormat="1">
      <c r="A175" s="162"/>
      <c r="B175" s="1764"/>
      <c r="C175" s="163"/>
      <c r="D175" s="163"/>
      <c r="E175" s="163"/>
      <c r="F175" s="163"/>
      <c r="G175" s="163"/>
      <c r="H175" s="163"/>
      <c r="I175" s="163"/>
      <c r="J175" s="163"/>
      <c r="K175" s="163"/>
      <c r="L175" s="163"/>
      <c r="M175" s="163"/>
      <c r="N175" s="163"/>
      <c r="O175" s="163"/>
      <c r="P175" s="163"/>
      <c r="Q175" s="162"/>
      <c r="R175" s="162"/>
      <c r="S175" s="162"/>
      <c r="T175" s="163"/>
      <c r="U175" s="162"/>
      <c r="V175" s="162"/>
      <c r="W175" s="162"/>
      <c r="X175" s="162"/>
      <c r="Y175" s="162"/>
      <c r="Z175" s="162"/>
      <c r="AA175" s="162"/>
      <c r="AB175" s="162"/>
      <c r="AC175" s="162"/>
      <c r="AD175" s="162"/>
      <c r="AE175" s="162"/>
    </row>
    <row r="176" spans="1:31" s="924" customFormat="1">
      <c r="A176" s="162"/>
      <c r="B176" s="1764"/>
      <c r="C176" s="163"/>
      <c r="D176" s="163"/>
      <c r="E176" s="163"/>
      <c r="F176" s="163"/>
      <c r="G176" s="163"/>
      <c r="H176" s="163"/>
      <c r="I176" s="163"/>
      <c r="J176" s="163"/>
      <c r="K176" s="163"/>
      <c r="L176" s="163"/>
      <c r="M176" s="163"/>
      <c r="N176" s="163"/>
      <c r="O176" s="163"/>
      <c r="P176" s="163"/>
      <c r="Q176" s="162"/>
      <c r="R176" s="162"/>
      <c r="S176" s="162"/>
      <c r="T176" s="163"/>
      <c r="U176" s="162"/>
      <c r="V176" s="162"/>
      <c r="W176" s="162"/>
      <c r="X176" s="162"/>
      <c r="Y176" s="162"/>
      <c r="Z176" s="162"/>
      <c r="AA176" s="162"/>
      <c r="AB176" s="162"/>
      <c r="AC176" s="162"/>
      <c r="AD176" s="162"/>
      <c r="AE176" s="162"/>
    </row>
    <row r="177" spans="1:31" s="924" customFormat="1">
      <c r="A177" s="162"/>
      <c r="B177" s="1764"/>
      <c r="C177" s="163"/>
      <c r="D177" s="163"/>
      <c r="E177" s="163"/>
      <c r="F177" s="163"/>
      <c r="G177" s="163"/>
      <c r="H177" s="163"/>
      <c r="I177" s="163"/>
      <c r="J177" s="163"/>
      <c r="K177" s="163"/>
      <c r="L177" s="163"/>
      <c r="M177" s="163"/>
      <c r="N177" s="163"/>
      <c r="O177" s="163"/>
      <c r="P177" s="163"/>
      <c r="Q177" s="162"/>
      <c r="R177" s="162"/>
      <c r="S177" s="162"/>
      <c r="T177" s="163"/>
      <c r="U177" s="162"/>
      <c r="V177" s="162"/>
      <c r="W177" s="162"/>
      <c r="X177" s="162"/>
      <c r="Y177" s="162"/>
      <c r="Z177" s="162"/>
      <c r="AA177" s="162"/>
      <c r="AB177" s="162"/>
      <c r="AC177" s="162"/>
      <c r="AD177" s="162"/>
      <c r="AE177" s="162"/>
    </row>
    <row r="178" spans="1:31" s="924" customFormat="1">
      <c r="A178" s="162"/>
      <c r="B178" s="1764"/>
      <c r="C178" s="163"/>
      <c r="D178" s="163"/>
      <c r="E178" s="163"/>
      <c r="F178" s="163"/>
      <c r="G178" s="163"/>
      <c r="H178" s="163"/>
      <c r="I178" s="163"/>
      <c r="J178" s="163"/>
      <c r="K178" s="163"/>
      <c r="L178" s="163"/>
      <c r="M178" s="163"/>
      <c r="N178" s="163"/>
      <c r="O178" s="163"/>
      <c r="P178" s="163"/>
      <c r="Q178" s="162"/>
      <c r="R178" s="162"/>
      <c r="S178" s="162"/>
      <c r="T178" s="163"/>
      <c r="U178" s="162"/>
      <c r="V178" s="162"/>
      <c r="W178" s="162"/>
      <c r="X178" s="162"/>
      <c r="Y178" s="162"/>
      <c r="Z178" s="162"/>
      <c r="AA178" s="162"/>
      <c r="AB178" s="162"/>
      <c r="AC178" s="162"/>
      <c r="AD178" s="162"/>
      <c r="AE178" s="162"/>
    </row>
    <row r="179" spans="1:31" s="924" customFormat="1">
      <c r="A179" s="162"/>
      <c r="B179" s="1764"/>
      <c r="C179" s="163"/>
      <c r="D179" s="163"/>
      <c r="E179" s="163"/>
      <c r="F179" s="163"/>
      <c r="G179" s="163"/>
      <c r="H179" s="163"/>
      <c r="I179" s="163"/>
      <c r="J179" s="163"/>
      <c r="K179" s="163"/>
      <c r="L179" s="163"/>
      <c r="M179" s="163"/>
      <c r="N179" s="163"/>
      <c r="O179" s="163"/>
      <c r="P179" s="163"/>
      <c r="Q179" s="162"/>
      <c r="R179" s="162"/>
      <c r="S179" s="162"/>
      <c r="T179" s="163"/>
      <c r="U179" s="162"/>
      <c r="V179" s="162"/>
      <c r="W179" s="162"/>
      <c r="X179" s="162"/>
      <c r="Y179" s="162"/>
      <c r="Z179" s="162"/>
      <c r="AA179" s="162"/>
      <c r="AB179" s="162"/>
      <c r="AC179" s="162"/>
      <c r="AD179" s="162"/>
      <c r="AE179" s="162"/>
    </row>
    <row r="180" spans="1:31" s="924" customFormat="1">
      <c r="A180" s="162"/>
      <c r="B180" s="1764"/>
      <c r="C180" s="163"/>
      <c r="D180" s="163"/>
      <c r="E180" s="163"/>
      <c r="F180" s="163"/>
      <c r="G180" s="163"/>
      <c r="H180" s="163"/>
      <c r="I180" s="163"/>
      <c r="J180" s="163"/>
      <c r="K180" s="163"/>
      <c r="L180" s="163"/>
      <c r="M180" s="163"/>
      <c r="N180" s="163"/>
      <c r="O180" s="163"/>
      <c r="P180" s="163"/>
      <c r="Q180" s="162"/>
      <c r="R180" s="162"/>
      <c r="S180" s="162"/>
      <c r="T180" s="163"/>
      <c r="U180" s="162"/>
      <c r="V180" s="162"/>
      <c r="W180" s="162"/>
      <c r="X180" s="162"/>
      <c r="Y180" s="162"/>
      <c r="Z180" s="162"/>
      <c r="AA180" s="162"/>
      <c r="AB180" s="162"/>
      <c r="AC180" s="162"/>
      <c r="AD180" s="162"/>
      <c r="AE180" s="162"/>
    </row>
    <row r="181" spans="1:31" s="924" customFormat="1">
      <c r="A181" s="162"/>
      <c r="B181" s="1764"/>
      <c r="C181" s="163"/>
      <c r="D181" s="163"/>
      <c r="E181" s="163"/>
      <c r="F181" s="163"/>
      <c r="G181" s="163"/>
      <c r="H181" s="163"/>
      <c r="I181" s="163"/>
      <c r="J181" s="163"/>
      <c r="K181" s="163"/>
      <c r="L181" s="163"/>
      <c r="M181" s="163"/>
      <c r="N181" s="163"/>
      <c r="O181" s="163"/>
      <c r="P181" s="163"/>
      <c r="Q181" s="162"/>
      <c r="R181" s="162"/>
      <c r="S181" s="162"/>
      <c r="T181" s="163"/>
      <c r="U181" s="162"/>
      <c r="V181" s="162"/>
      <c r="W181" s="162"/>
      <c r="X181" s="162"/>
      <c r="Y181" s="162"/>
      <c r="Z181" s="162"/>
      <c r="AA181" s="162"/>
      <c r="AB181" s="162"/>
      <c r="AC181" s="162"/>
      <c r="AD181" s="162"/>
      <c r="AE181" s="162"/>
    </row>
    <row r="182" spans="1:31" s="924" customFormat="1">
      <c r="A182" s="162"/>
      <c r="B182" s="1764"/>
      <c r="C182" s="163"/>
      <c r="D182" s="163"/>
      <c r="E182" s="163"/>
      <c r="F182" s="163"/>
      <c r="G182" s="163"/>
      <c r="H182" s="163"/>
      <c r="I182" s="163"/>
      <c r="J182" s="163"/>
      <c r="K182" s="163"/>
      <c r="L182" s="163"/>
      <c r="M182" s="163"/>
      <c r="N182" s="163"/>
      <c r="O182" s="163"/>
      <c r="P182" s="163"/>
      <c r="Q182" s="162"/>
      <c r="R182" s="162"/>
      <c r="S182" s="162"/>
      <c r="T182" s="163"/>
      <c r="U182" s="162"/>
      <c r="V182" s="162"/>
      <c r="W182" s="162"/>
      <c r="X182" s="162"/>
      <c r="Y182" s="162"/>
      <c r="Z182" s="162"/>
      <c r="AA182" s="162"/>
      <c r="AB182" s="162"/>
      <c r="AC182" s="162"/>
      <c r="AD182" s="162"/>
      <c r="AE182" s="162"/>
    </row>
    <row r="183" spans="1:31" s="924" customFormat="1">
      <c r="A183" s="162"/>
      <c r="B183" s="1764"/>
      <c r="C183" s="163"/>
      <c r="D183" s="163"/>
      <c r="E183" s="163"/>
      <c r="F183" s="163"/>
      <c r="G183" s="163"/>
      <c r="H183" s="163"/>
      <c r="I183" s="163"/>
      <c r="J183" s="163"/>
      <c r="K183" s="163"/>
      <c r="L183" s="163"/>
      <c r="M183" s="163"/>
      <c r="N183" s="163"/>
      <c r="O183" s="163"/>
      <c r="P183" s="163"/>
      <c r="Q183" s="162"/>
      <c r="R183" s="162"/>
      <c r="S183" s="162"/>
      <c r="T183" s="163"/>
      <c r="U183" s="162"/>
      <c r="V183" s="162"/>
      <c r="W183" s="162"/>
      <c r="X183" s="162"/>
      <c r="Y183" s="162"/>
      <c r="Z183" s="162"/>
      <c r="AA183" s="162"/>
      <c r="AB183" s="162"/>
      <c r="AC183" s="162"/>
      <c r="AD183" s="162"/>
      <c r="AE183" s="162"/>
    </row>
    <row r="184" spans="1:31" s="924" customFormat="1">
      <c r="A184" s="162"/>
      <c r="B184" s="1764"/>
      <c r="C184" s="163"/>
      <c r="D184" s="163"/>
      <c r="E184" s="163"/>
      <c r="F184" s="163"/>
      <c r="G184" s="163"/>
      <c r="H184" s="163"/>
      <c r="I184" s="163"/>
      <c r="J184" s="163"/>
      <c r="K184" s="163"/>
      <c r="L184" s="163"/>
      <c r="M184" s="163"/>
      <c r="N184" s="163"/>
      <c r="O184" s="163"/>
      <c r="P184" s="163"/>
      <c r="Q184" s="162"/>
      <c r="R184" s="162"/>
      <c r="S184" s="162"/>
      <c r="T184" s="163"/>
      <c r="U184" s="162"/>
      <c r="V184" s="162"/>
      <c r="W184" s="162"/>
      <c r="X184" s="162"/>
      <c r="Y184" s="162"/>
      <c r="Z184" s="162"/>
      <c r="AA184" s="162"/>
      <c r="AB184" s="162"/>
      <c r="AC184" s="162"/>
      <c r="AD184" s="162"/>
      <c r="AE184" s="162"/>
    </row>
    <row r="185" spans="1:31" s="924" customFormat="1">
      <c r="A185" s="162"/>
      <c r="B185" s="1764"/>
      <c r="C185" s="163"/>
      <c r="D185" s="163"/>
      <c r="E185" s="163"/>
      <c r="F185" s="163"/>
      <c r="G185" s="163"/>
      <c r="H185" s="163"/>
      <c r="I185" s="163"/>
      <c r="J185" s="163"/>
      <c r="K185" s="163"/>
      <c r="L185" s="163"/>
      <c r="M185" s="163"/>
      <c r="N185" s="163"/>
      <c r="O185" s="163"/>
      <c r="P185" s="163"/>
      <c r="Q185" s="162"/>
      <c r="R185" s="162"/>
      <c r="S185" s="162"/>
      <c r="T185" s="163"/>
      <c r="U185" s="162"/>
      <c r="V185" s="162"/>
      <c r="W185" s="162"/>
      <c r="X185" s="162"/>
      <c r="Y185" s="162"/>
      <c r="Z185" s="162"/>
      <c r="AA185" s="162"/>
      <c r="AB185" s="162"/>
      <c r="AC185" s="162"/>
      <c r="AD185" s="162"/>
      <c r="AE185" s="162"/>
    </row>
    <row r="186" spans="1:31" s="924" customFormat="1">
      <c r="A186" s="162"/>
      <c r="B186" s="1764"/>
      <c r="C186" s="163"/>
      <c r="D186" s="163"/>
      <c r="E186" s="163"/>
      <c r="F186" s="163"/>
      <c r="G186" s="163"/>
      <c r="H186" s="163"/>
      <c r="I186" s="163"/>
      <c r="J186" s="163"/>
      <c r="K186" s="163"/>
      <c r="L186" s="163"/>
      <c r="M186" s="163"/>
      <c r="N186" s="163"/>
      <c r="O186" s="163"/>
      <c r="P186" s="163"/>
      <c r="Q186" s="162"/>
      <c r="R186" s="162"/>
      <c r="S186" s="162"/>
      <c r="T186" s="163"/>
      <c r="U186" s="162"/>
      <c r="V186" s="162"/>
      <c r="W186" s="162"/>
      <c r="X186" s="162"/>
      <c r="Y186" s="162"/>
      <c r="Z186" s="162"/>
      <c r="AA186" s="162"/>
      <c r="AB186" s="162"/>
      <c r="AC186" s="162"/>
      <c r="AD186" s="162"/>
      <c r="AE186" s="162"/>
    </row>
    <row r="187" spans="1:31" s="924" customFormat="1">
      <c r="A187" s="162"/>
      <c r="B187" s="1764"/>
      <c r="C187" s="163"/>
      <c r="D187" s="163"/>
      <c r="E187" s="163"/>
      <c r="F187" s="163"/>
      <c r="G187" s="163"/>
      <c r="H187" s="163"/>
      <c r="I187" s="163"/>
      <c r="J187" s="163"/>
      <c r="K187" s="163"/>
      <c r="L187" s="163"/>
      <c r="M187" s="163"/>
      <c r="N187" s="163"/>
      <c r="O187" s="163"/>
      <c r="P187" s="163"/>
      <c r="Q187" s="162"/>
      <c r="R187" s="162"/>
      <c r="S187" s="162"/>
      <c r="T187" s="163"/>
      <c r="U187" s="162"/>
      <c r="V187" s="162"/>
      <c r="W187" s="162"/>
      <c r="X187" s="162"/>
      <c r="Y187" s="162"/>
      <c r="Z187" s="162"/>
      <c r="AA187" s="162"/>
      <c r="AB187" s="162"/>
      <c r="AC187" s="162"/>
      <c r="AD187" s="162"/>
      <c r="AE187" s="162"/>
    </row>
    <row r="188" spans="1:31" s="924" customFormat="1">
      <c r="A188" s="162"/>
      <c r="B188" s="1764"/>
      <c r="C188" s="163"/>
      <c r="D188" s="163"/>
      <c r="E188" s="163"/>
      <c r="F188" s="163"/>
      <c r="G188" s="163"/>
      <c r="H188" s="163"/>
      <c r="I188" s="163"/>
      <c r="J188" s="163"/>
      <c r="K188" s="163"/>
      <c r="L188" s="163"/>
      <c r="M188" s="163"/>
      <c r="N188" s="163"/>
      <c r="O188" s="163"/>
      <c r="P188" s="163"/>
      <c r="Q188" s="162"/>
      <c r="R188" s="162"/>
      <c r="S188" s="162"/>
      <c r="T188" s="163"/>
      <c r="U188" s="162"/>
      <c r="V188" s="162"/>
      <c r="W188" s="162"/>
      <c r="X188" s="162"/>
      <c r="Y188" s="162"/>
      <c r="Z188" s="162"/>
      <c r="AA188" s="162"/>
      <c r="AB188" s="162"/>
      <c r="AC188" s="162"/>
      <c r="AD188" s="162"/>
      <c r="AE188" s="162"/>
    </row>
    <row r="189" spans="1:31" s="924" customFormat="1">
      <c r="A189" s="162"/>
      <c r="B189" s="1764"/>
      <c r="C189" s="163"/>
      <c r="D189" s="163"/>
      <c r="E189" s="163"/>
      <c r="F189" s="163"/>
      <c r="G189" s="163"/>
      <c r="H189" s="163"/>
      <c r="I189" s="163"/>
      <c r="J189" s="163"/>
      <c r="K189" s="163"/>
      <c r="L189" s="163"/>
      <c r="M189" s="163"/>
      <c r="N189" s="163"/>
      <c r="O189" s="163"/>
      <c r="P189" s="163"/>
      <c r="Q189" s="162"/>
      <c r="R189" s="162"/>
      <c r="S189" s="162"/>
      <c r="T189" s="163"/>
      <c r="U189" s="162"/>
      <c r="V189" s="162"/>
      <c r="W189" s="162"/>
      <c r="X189" s="162"/>
      <c r="Y189" s="162"/>
      <c r="Z189" s="162"/>
      <c r="AA189" s="162"/>
      <c r="AB189" s="162"/>
      <c r="AC189" s="162"/>
      <c r="AD189" s="162"/>
      <c r="AE189" s="162"/>
    </row>
    <row r="190" spans="1:31" s="924" customFormat="1">
      <c r="A190" s="162"/>
      <c r="B190" s="1764"/>
      <c r="C190" s="163"/>
      <c r="D190" s="163"/>
      <c r="E190" s="163"/>
      <c r="F190" s="163"/>
      <c r="G190" s="163"/>
      <c r="H190" s="163"/>
      <c r="I190" s="163"/>
      <c r="J190" s="163"/>
      <c r="K190" s="163"/>
      <c r="L190" s="163"/>
      <c r="M190" s="163"/>
      <c r="N190" s="163"/>
      <c r="O190" s="163"/>
      <c r="P190" s="163"/>
      <c r="Q190" s="162"/>
      <c r="R190" s="162"/>
      <c r="S190" s="162"/>
      <c r="T190" s="163"/>
      <c r="U190" s="162"/>
      <c r="V190" s="162"/>
      <c r="W190" s="162"/>
      <c r="X190" s="162"/>
      <c r="Y190" s="162"/>
      <c r="Z190" s="162"/>
      <c r="AA190" s="162"/>
      <c r="AB190" s="162"/>
      <c r="AC190" s="162"/>
      <c r="AD190" s="162"/>
      <c r="AE190" s="162"/>
    </row>
    <row r="191" spans="1:31" s="924" customFormat="1">
      <c r="A191" s="162"/>
      <c r="B191" s="1764"/>
      <c r="C191" s="163"/>
      <c r="D191" s="163"/>
      <c r="E191" s="163"/>
      <c r="F191" s="163"/>
      <c r="G191" s="163"/>
      <c r="H191" s="163"/>
      <c r="I191" s="163"/>
      <c r="J191" s="163"/>
      <c r="K191" s="163"/>
      <c r="L191" s="163"/>
      <c r="M191" s="163"/>
      <c r="N191" s="163"/>
      <c r="O191" s="163"/>
      <c r="P191" s="163"/>
      <c r="Q191" s="162"/>
      <c r="R191" s="162"/>
      <c r="S191" s="162"/>
      <c r="T191" s="163"/>
      <c r="U191" s="162"/>
      <c r="V191" s="162"/>
      <c r="W191" s="162"/>
      <c r="X191" s="162"/>
      <c r="Y191" s="162"/>
      <c r="Z191" s="162"/>
      <c r="AA191" s="162"/>
      <c r="AB191" s="162"/>
      <c r="AC191" s="162"/>
      <c r="AD191" s="162"/>
      <c r="AE191" s="162"/>
    </row>
    <row r="192" spans="1:31" s="924" customFormat="1">
      <c r="A192" s="162"/>
      <c r="B192" s="1764"/>
      <c r="C192" s="163"/>
      <c r="D192" s="163"/>
      <c r="E192" s="163"/>
      <c r="F192" s="163"/>
      <c r="G192" s="163"/>
      <c r="H192" s="163"/>
      <c r="I192" s="163"/>
      <c r="J192" s="163"/>
      <c r="K192" s="163"/>
      <c r="L192" s="163"/>
      <c r="M192" s="163"/>
      <c r="N192" s="163"/>
      <c r="O192" s="163"/>
      <c r="P192" s="163"/>
      <c r="Q192" s="162"/>
      <c r="R192" s="162"/>
      <c r="S192" s="162"/>
      <c r="T192" s="163"/>
      <c r="U192" s="162"/>
      <c r="V192" s="162"/>
      <c r="W192" s="162"/>
      <c r="X192" s="162"/>
      <c r="Y192" s="162"/>
      <c r="Z192" s="162"/>
      <c r="AA192" s="162"/>
      <c r="AB192" s="162"/>
      <c r="AC192" s="162"/>
      <c r="AD192" s="162"/>
      <c r="AE192" s="162"/>
    </row>
    <row r="193" spans="1:31" s="924" customFormat="1">
      <c r="A193" s="162"/>
      <c r="B193" s="1764"/>
      <c r="C193" s="163"/>
      <c r="D193" s="163"/>
      <c r="E193" s="163"/>
      <c r="F193" s="163"/>
      <c r="G193" s="163"/>
      <c r="H193" s="163"/>
      <c r="I193" s="163"/>
      <c r="J193" s="163"/>
      <c r="K193" s="163"/>
      <c r="L193" s="163"/>
      <c r="M193" s="163"/>
      <c r="N193" s="163"/>
      <c r="O193" s="163"/>
      <c r="P193" s="163"/>
      <c r="Q193" s="162"/>
      <c r="R193" s="162"/>
      <c r="S193" s="162"/>
      <c r="T193" s="163"/>
      <c r="U193" s="162"/>
      <c r="V193" s="162"/>
      <c r="W193" s="162"/>
      <c r="X193" s="162"/>
      <c r="Y193" s="162"/>
      <c r="Z193" s="162"/>
      <c r="AA193" s="162"/>
      <c r="AB193" s="162"/>
      <c r="AC193" s="162"/>
      <c r="AD193" s="162"/>
      <c r="AE193" s="162"/>
    </row>
    <row r="194" spans="1:31" s="924" customFormat="1">
      <c r="A194" s="162"/>
      <c r="B194" s="1764"/>
      <c r="C194" s="163"/>
      <c r="D194" s="163"/>
      <c r="E194" s="163"/>
      <c r="F194" s="163"/>
      <c r="G194" s="163"/>
      <c r="H194" s="163"/>
      <c r="I194" s="163"/>
      <c r="J194" s="163"/>
      <c r="K194" s="163"/>
      <c r="L194" s="163"/>
      <c r="M194" s="163"/>
      <c r="N194" s="163"/>
      <c r="O194" s="163"/>
      <c r="P194" s="163"/>
      <c r="Q194" s="162"/>
      <c r="R194" s="162"/>
      <c r="S194" s="162"/>
      <c r="T194" s="163"/>
      <c r="U194" s="162"/>
      <c r="V194" s="162"/>
      <c r="W194" s="162"/>
      <c r="X194" s="162"/>
      <c r="Y194" s="162"/>
      <c r="Z194" s="162"/>
      <c r="AA194" s="162"/>
      <c r="AB194" s="162"/>
      <c r="AC194" s="162"/>
      <c r="AD194" s="162"/>
      <c r="AE194" s="162"/>
    </row>
    <row r="195" spans="1:31" s="924" customFormat="1">
      <c r="A195" s="162"/>
      <c r="B195" s="1764"/>
      <c r="C195" s="163"/>
      <c r="D195" s="163"/>
      <c r="E195" s="163"/>
      <c r="F195" s="163"/>
      <c r="G195" s="163"/>
      <c r="H195" s="163"/>
      <c r="I195" s="163"/>
      <c r="J195" s="163"/>
      <c r="K195" s="163"/>
      <c r="L195" s="163"/>
      <c r="M195" s="163"/>
      <c r="N195" s="163"/>
      <c r="O195" s="163"/>
      <c r="P195" s="163"/>
      <c r="Q195" s="162"/>
      <c r="R195" s="162"/>
      <c r="S195" s="162"/>
      <c r="T195" s="163"/>
      <c r="U195" s="162"/>
      <c r="V195" s="162"/>
      <c r="W195" s="162"/>
      <c r="X195" s="162"/>
      <c r="Y195" s="162"/>
      <c r="Z195" s="162"/>
      <c r="AA195" s="162"/>
      <c r="AB195" s="162"/>
      <c r="AC195" s="162"/>
      <c r="AD195" s="162"/>
      <c r="AE195" s="162"/>
    </row>
    <row r="196" spans="1:31" s="924" customFormat="1">
      <c r="A196" s="162"/>
      <c r="B196" s="1764"/>
      <c r="C196" s="163"/>
      <c r="D196" s="163"/>
      <c r="E196" s="163"/>
      <c r="F196" s="163"/>
      <c r="G196" s="163"/>
      <c r="H196" s="163"/>
      <c r="I196" s="163"/>
      <c r="J196" s="163"/>
      <c r="K196" s="163"/>
      <c r="L196" s="163"/>
      <c r="M196" s="163"/>
      <c r="N196" s="163"/>
      <c r="O196" s="163"/>
      <c r="P196" s="163"/>
      <c r="Q196" s="162"/>
      <c r="R196" s="162"/>
      <c r="S196" s="162"/>
      <c r="T196" s="163"/>
      <c r="U196" s="162"/>
      <c r="V196" s="162"/>
      <c r="W196" s="162"/>
      <c r="X196" s="162"/>
      <c r="Y196" s="162"/>
      <c r="Z196" s="162"/>
      <c r="AA196" s="162"/>
      <c r="AB196" s="162"/>
      <c r="AC196" s="162"/>
      <c r="AD196" s="162"/>
      <c r="AE196" s="162"/>
    </row>
    <row r="197" spans="1:31" s="924" customFormat="1">
      <c r="A197" s="162"/>
      <c r="B197" s="1764"/>
      <c r="C197" s="163"/>
      <c r="D197" s="163"/>
      <c r="E197" s="163"/>
      <c r="F197" s="163"/>
      <c r="G197" s="163"/>
      <c r="H197" s="163"/>
      <c r="I197" s="163"/>
      <c r="J197" s="163"/>
      <c r="K197" s="163"/>
      <c r="L197" s="163"/>
      <c r="M197" s="163"/>
      <c r="N197" s="163"/>
      <c r="O197" s="163"/>
      <c r="P197" s="163"/>
      <c r="Q197" s="162"/>
      <c r="R197" s="162"/>
      <c r="S197" s="162"/>
      <c r="T197" s="163"/>
      <c r="U197" s="162"/>
      <c r="V197" s="162"/>
      <c r="W197" s="162"/>
      <c r="X197" s="162"/>
      <c r="Y197" s="162"/>
      <c r="Z197" s="162"/>
      <c r="AA197" s="162"/>
      <c r="AB197" s="162"/>
      <c r="AC197" s="162"/>
      <c r="AD197" s="162"/>
      <c r="AE197" s="162"/>
    </row>
    <row r="198" spans="1:31" s="924" customFormat="1">
      <c r="A198" s="162"/>
      <c r="B198" s="1764"/>
      <c r="C198" s="163"/>
      <c r="D198" s="163"/>
      <c r="E198" s="163"/>
      <c r="F198" s="163"/>
      <c r="G198" s="163"/>
      <c r="H198" s="163"/>
      <c r="I198" s="163"/>
      <c r="J198" s="163"/>
      <c r="K198" s="163"/>
      <c r="L198" s="163"/>
      <c r="M198" s="163"/>
      <c r="N198" s="163"/>
      <c r="O198" s="163"/>
      <c r="P198" s="163"/>
      <c r="Q198" s="162"/>
      <c r="R198" s="162"/>
      <c r="S198" s="162"/>
      <c r="T198" s="163"/>
      <c r="U198" s="162"/>
      <c r="V198" s="162"/>
      <c r="W198" s="162"/>
      <c r="X198" s="162"/>
      <c r="Y198" s="162"/>
      <c r="Z198" s="162"/>
      <c r="AA198" s="162"/>
      <c r="AB198" s="162"/>
      <c r="AC198" s="162"/>
      <c r="AD198" s="162"/>
      <c r="AE198" s="162"/>
    </row>
    <row r="199" spans="1:31" s="924" customFormat="1">
      <c r="A199" s="162"/>
      <c r="B199" s="1764"/>
      <c r="C199" s="163"/>
      <c r="D199" s="163"/>
      <c r="E199" s="163"/>
      <c r="F199" s="163"/>
      <c r="G199" s="163"/>
      <c r="H199" s="163"/>
      <c r="I199" s="163"/>
      <c r="J199" s="163"/>
      <c r="K199" s="163"/>
      <c r="L199" s="163"/>
      <c r="M199" s="163"/>
      <c r="N199" s="163"/>
      <c r="O199" s="163"/>
      <c r="P199" s="163"/>
      <c r="Q199" s="162"/>
      <c r="R199" s="162"/>
      <c r="S199" s="162"/>
      <c r="T199" s="163"/>
      <c r="U199" s="162"/>
      <c r="V199" s="162"/>
      <c r="W199" s="162"/>
      <c r="X199" s="162"/>
      <c r="Y199" s="162"/>
      <c r="Z199" s="162"/>
      <c r="AA199" s="162"/>
      <c r="AB199" s="162"/>
      <c r="AC199" s="162"/>
      <c r="AD199" s="162"/>
      <c r="AE199" s="162"/>
    </row>
    <row r="200" spans="1:31" s="924" customFormat="1">
      <c r="A200" s="162"/>
      <c r="B200" s="1764"/>
      <c r="C200" s="163"/>
      <c r="D200" s="163"/>
      <c r="E200" s="163"/>
      <c r="F200" s="163"/>
      <c r="G200" s="163"/>
      <c r="H200" s="163"/>
      <c r="I200" s="163"/>
      <c r="J200" s="163"/>
      <c r="K200" s="163"/>
      <c r="L200" s="163"/>
      <c r="M200" s="163"/>
      <c r="N200" s="163"/>
      <c r="O200" s="163"/>
      <c r="P200" s="163"/>
      <c r="Q200" s="162"/>
      <c r="R200" s="162"/>
      <c r="S200" s="162"/>
      <c r="T200" s="163"/>
      <c r="U200" s="162"/>
      <c r="V200" s="162"/>
      <c r="W200" s="162"/>
      <c r="X200" s="162"/>
      <c r="Y200" s="162"/>
      <c r="Z200" s="162"/>
      <c r="AA200" s="162"/>
      <c r="AB200" s="162"/>
      <c r="AC200" s="162"/>
      <c r="AD200" s="162"/>
      <c r="AE200" s="162"/>
    </row>
    <row r="201" spans="1:31" s="924" customFormat="1">
      <c r="A201" s="162"/>
      <c r="B201" s="1764"/>
      <c r="C201" s="163"/>
      <c r="D201" s="163"/>
      <c r="E201" s="163"/>
      <c r="F201" s="163"/>
      <c r="G201" s="163"/>
      <c r="H201" s="163"/>
      <c r="I201" s="163"/>
      <c r="J201" s="163"/>
      <c r="K201" s="163"/>
      <c r="L201" s="163"/>
      <c r="M201" s="163"/>
      <c r="N201" s="163"/>
      <c r="O201" s="163"/>
      <c r="P201" s="163"/>
      <c r="Q201" s="162"/>
      <c r="R201" s="162"/>
      <c r="S201" s="162"/>
      <c r="T201" s="163"/>
      <c r="U201" s="162"/>
      <c r="V201" s="162"/>
      <c r="W201" s="162"/>
      <c r="X201" s="162"/>
      <c r="Y201" s="162"/>
      <c r="Z201" s="162"/>
      <c r="AA201" s="162"/>
      <c r="AB201" s="162"/>
      <c r="AC201" s="162"/>
      <c r="AD201" s="162"/>
      <c r="AE201" s="162"/>
    </row>
    <row r="202" spans="1:31" s="924" customFormat="1">
      <c r="A202" s="162"/>
      <c r="B202" s="1764"/>
      <c r="C202" s="163"/>
      <c r="D202" s="163"/>
      <c r="E202" s="163"/>
      <c r="F202" s="163"/>
      <c r="G202" s="163"/>
      <c r="H202" s="163"/>
      <c r="I202" s="163"/>
      <c r="J202" s="163"/>
      <c r="K202" s="163"/>
      <c r="L202" s="163"/>
      <c r="M202" s="163"/>
      <c r="N202" s="163"/>
      <c r="O202" s="163"/>
      <c r="P202" s="163"/>
      <c r="Q202" s="162"/>
      <c r="R202" s="162"/>
      <c r="S202" s="162"/>
      <c r="T202" s="163"/>
      <c r="U202" s="162"/>
      <c r="V202" s="162"/>
      <c r="W202" s="162"/>
      <c r="X202" s="162"/>
      <c r="Y202" s="162"/>
      <c r="Z202" s="162"/>
      <c r="AA202" s="162"/>
      <c r="AB202" s="162"/>
      <c r="AC202" s="162"/>
      <c r="AD202" s="162"/>
      <c r="AE202" s="162"/>
    </row>
    <row r="203" spans="1:31" s="924" customFormat="1">
      <c r="A203" s="162"/>
      <c r="B203" s="1764"/>
      <c r="C203" s="163"/>
      <c r="D203" s="163"/>
      <c r="E203" s="163"/>
      <c r="F203" s="163"/>
      <c r="G203" s="163"/>
      <c r="H203" s="163"/>
      <c r="I203" s="163"/>
      <c r="J203" s="163"/>
      <c r="K203" s="163"/>
      <c r="L203" s="163"/>
      <c r="M203" s="163"/>
      <c r="N203" s="163"/>
      <c r="O203" s="163"/>
      <c r="P203" s="163"/>
      <c r="Q203" s="162"/>
      <c r="R203" s="162"/>
      <c r="S203" s="162"/>
      <c r="T203" s="163"/>
      <c r="U203" s="162"/>
      <c r="V203" s="162"/>
      <c r="W203" s="162"/>
      <c r="X203" s="162"/>
      <c r="Y203" s="162"/>
      <c r="Z203" s="162"/>
      <c r="AA203" s="162"/>
      <c r="AB203" s="162"/>
      <c r="AC203" s="162"/>
      <c r="AD203" s="162"/>
      <c r="AE203" s="162"/>
    </row>
    <row r="204" spans="1:31" s="924" customFormat="1">
      <c r="A204" s="162"/>
      <c r="B204" s="1764"/>
      <c r="C204" s="163"/>
      <c r="D204" s="163"/>
      <c r="E204" s="163"/>
      <c r="F204" s="163"/>
      <c r="G204" s="163"/>
      <c r="H204" s="163"/>
      <c r="I204" s="163"/>
      <c r="J204" s="163"/>
      <c r="K204" s="163"/>
      <c r="L204" s="163"/>
      <c r="M204" s="163"/>
      <c r="N204" s="163"/>
      <c r="O204" s="163"/>
      <c r="P204" s="163"/>
      <c r="Q204" s="162"/>
      <c r="R204" s="162"/>
      <c r="S204" s="162"/>
      <c r="T204" s="163"/>
      <c r="U204" s="162"/>
      <c r="V204" s="162"/>
      <c r="W204" s="162"/>
      <c r="X204" s="162"/>
      <c r="Y204" s="162"/>
      <c r="Z204" s="162"/>
      <c r="AA204" s="162"/>
      <c r="AB204" s="162"/>
      <c r="AC204" s="162"/>
      <c r="AD204" s="162"/>
      <c r="AE204" s="162"/>
    </row>
    <row r="205" spans="1:31" s="924" customFormat="1">
      <c r="A205" s="162"/>
      <c r="B205" s="1764"/>
      <c r="C205" s="163"/>
      <c r="D205" s="163"/>
      <c r="E205" s="163"/>
      <c r="F205" s="163"/>
      <c r="G205" s="163"/>
      <c r="H205" s="163"/>
      <c r="I205" s="163"/>
      <c r="J205" s="163"/>
      <c r="K205" s="163"/>
      <c r="L205" s="163"/>
      <c r="M205" s="163"/>
      <c r="N205" s="163"/>
      <c r="O205" s="163"/>
      <c r="P205" s="163"/>
      <c r="Q205" s="162"/>
      <c r="R205" s="162"/>
      <c r="S205" s="162"/>
      <c r="T205" s="163"/>
      <c r="U205" s="162"/>
      <c r="V205" s="162"/>
      <c r="W205" s="162"/>
      <c r="X205" s="162"/>
      <c r="Y205" s="162"/>
      <c r="Z205" s="162"/>
      <c r="AA205" s="162"/>
      <c r="AB205" s="162"/>
      <c r="AC205" s="162"/>
      <c r="AD205" s="162"/>
      <c r="AE205" s="162"/>
    </row>
    <row r="206" spans="1:31" s="924" customFormat="1">
      <c r="A206" s="162"/>
      <c r="B206" s="1764"/>
      <c r="C206" s="163"/>
      <c r="D206" s="163"/>
      <c r="E206" s="163"/>
      <c r="F206" s="163"/>
      <c r="G206" s="163"/>
      <c r="H206" s="163"/>
      <c r="I206" s="163"/>
      <c r="J206" s="163"/>
      <c r="K206" s="163"/>
      <c r="L206" s="163"/>
      <c r="M206" s="163"/>
      <c r="N206" s="163"/>
      <c r="O206" s="163"/>
      <c r="P206" s="163"/>
      <c r="Q206" s="162"/>
      <c r="R206" s="162"/>
      <c r="S206" s="162"/>
      <c r="T206" s="163"/>
      <c r="U206" s="162"/>
      <c r="V206" s="162"/>
      <c r="W206" s="162"/>
      <c r="X206" s="162"/>
      <c r="Y206" s="162"/>
      <c r="Z206" s="162"/>
      <c r="AA206" s="162"/>
      <c r="AB206" s="162"/>
      <c r="AC206" s="162"/>
      <c r="AD206" s="162"/>
      <c r="AE206" s="162"/>
    </row>
    <row r="207" spans="1:31" s="924" customFormat="1">
      <c r="A207" s="162"/>
      <c r="B207" s="1764"/>
      <c r="C207" s="163"/>
      <c r="D207" s="163"/>
      <c r="E207" s="163"/>
      <c r="F207" s="163"/>
      <c r="G207" s="163"/>
      <c r="H207" s="163"/>
      <c r="I207" s="163"/>
      <c r="J207" s="163"/>
      <c r="K207" s="163"/>
      <c r="L207" s="163"/>
      <c r="M207" s="163"/>
      <c r="N207" s="163"/>
      <c r="O207" s="163"/>
      <c r="P207" s="163"/>
      <c r="Q207" s="162"/>
      <c r="R207" s="162"/>
      <c r="S207" s="162"/>
      <c r="T207" s="163"/>
      <c r="U207" s="162"/>
      <c r="V207" s="162"/>
      <c r="W207" s="162"/>
      <c r="X207" s="162"/>
      <c r="Y207" s="162"/>
      <c r="Z207" s="162"/>
      <c r="AA207" s="162"/>
      <c r="AB207" s="162"/>
      <c r="AC207" s="162"/>
      <c r="AD207" s="162"/>
      <c r="AE207" s="162"/>
    </row>
    <row r="208" spans="1:31" s="924" customFormat="1">
      <c r="A208" s="162"/>
      <c r="B208" s="1764"/>
      <c r="C208" s="163"/>
      <c r="D208" s="163"/>
      <c r="E208" s="163"/>
      <c r="F208" s="163"/>
      <c r="G208" s="163"/>
      <c r="H208" s="163"/>
      <c r="I208" s="163"/>
      <c r="J208" s="163"/>
      <c r="K208" s="163"/>
      <c r="L208" s="163"/>
      <c r="M208" s="163"/>
      <c r="N208" s="163"/>
      <c r="O208" s="163"/>
      <c r="P208" s="163"/>
      <c r="Q208" s="162"/>
      <c r="R208" s="162"/>
      <c r="S208" s="162"/>
      <c r="T208" s="163"/>
      <c r="U208" s="162"/>
      <c r="V208" s="162"/>
      <c r="W208" s="162"/>
      <c r="X208" s="162"/>
      <c r="Y208" s="162"/>
      <c r="Z208" s="162"/>
      <c r="AA208" s="162"/>
      <c r="AB208" s="162"/>
      <c r="AC208" s="162"/>
      <c r="AD208" s="162"/>
      <c r="AE208" s="162"/>
    </row>
    <row r="209" spans="1:31" s="924" customFormat="1">
      <c r="A209" s="162"/>
      <c r="B209" s="1764"/>
      <c r="C209" s="163"/>
      <c r="D209" s="163"/>
      <c r="E209" s="163"/>
      <c r="F209" s="163"/>
      <c r="G209" s="163"/>
      <c r="H209" s="163"/>
      <c r="I209" s="163"/>
      <c r="J209" s="163"/>
      <c r="K209" s="163"/>
      <c r="L209" s="163"/>
      <c r="M209" s="163"/>
      <c r="N209" s="163"/>
      <c r="O209" s="163"/>
      <c r="P209" s="163"/>
      <c r="Q209" s="162"/>
      <c r="R209" s="162"/>
      <c r="S209" s="162"/>
      <c r="T209" s="163"/>
      <c r="U209" s="162"/>
      <c r="V209" s="162"/>
      <c r="W209" s="162"/>
      <c r="X209" s="162"/>
      <c r="Y209" s="162"/>
      <c r="Z209" s="162"/>
      <c r="AA209" s="162"/>
      <c r="AB209" s="162"/>
      <c r="AC209" s="162"/>
      <c r="AD209" s="162"/>
      <c r="AE209" s="162"/>
    </row>
    <row r="210" spans="1:31" s="924" customFormat="1">
      <c r="A210" s="162"/>
      <c r="B210" s="1764"/>
      <c r="C210" s="163"/>
      <c r="D210" s="163"/>
      <c r="E210" s="163"/>
      <c r="F210" s="163"/>
      <c r="G210" s="163"/>
      <c r="H210" s="163"/>
      <c r="I210" s="163"/>
      <c r="J210" s="163"/>
      <c r="K210" s="163"/>
      <c r="L210" s="163"/>
      <c r="M210" s="163"/>
      <c r="N210" s="163"/>
      <c r="O210" s="163"/>
      <c r="P210" s="163"/>
      <c r="Q210" s="162"/>
      <c r="R210" s="162"/>
      <c r="S210" s="162"/>
      <c r="T210" s="163"/>
      <c r="U210" s="162"/>
      <c r="V210" s="162"/>
      <c r="W210" s="162"/>
      <c r="X210" s="162"/>
      <c r="Y210" s="162"/>
      <c r="Z210" s="162"/>
      <c r="AA210" s="162"/>
      <c r="AB210" s="162"/>
      <c r="AC210" s="162"/>
      <c r="AD210" s="162"/>
      <c r="AE210" s="162"/>
    </row>
    <row r="211" spans="1:31" s="924" customFormat="1">
      <c r="A211" s="162"/>
      <c r="B211" s="1764"/>
      <c r="C211" s="163"/>
      <c r="D211" s="163"/>
      <c r="E211" s="163"/>
      <c r="F211" s="163"/>
      <c r="G211" s="163"/>
      <c r="H211" s="163"/>
      <c r="I211" s="163"/>
      <c r="J211" s="163"/>
      <c r="K211" s="163"/>
      <c r="L211" s="163"/>
      <c r="M211" s="163"/>
      <c r="N211" s="163"/>
      <c r="O211" s="163"/>
      <c r="P211" s="163"/>
      <c r="Q211" s="162"/>
      <c r="R211" s="162"/>
      <c r="S211" s="162"/>
      <c r="T211" s="163"/>
      <c r="U211" s="162"/>
      <c r="V211" s="162"/>
      <c r="W211" s="162"/>
      <c r="X211" s="162"/>
      <c r="Y211" s="162"/>
      <c r="Z211" s="162"/>
      <c r="AA211" s="162"/>
      <c r="AB211" s="162"/>
      <c r="AC211" s="162"/>
      <c r="AD211" s="162"/>
      <c r="AE211" s="162"/>
    </row>
    <row r="212" spans="1:31" s="924" customFormat="1">
      <c r="A212" s="162"/>
      <c r="B212" s="1764"/>
      <c r="C212" s="163"/>
      <c r="D212" s="163"/>
      <c r="E212" s="163"/>
      <c r="F212" s="163"/>
      <c r="G212" s="163"/>
      <c r="H212" s="163"/>
      <c r="I212" s="163"/>
      <c r="J212" s="163"/>
      <c r="K212" s="163"/>
      <c r="L212" s="163"/>
      <c r="M212" s="163"/>
      <c r="N212" s="163"/>
      <c r="O212" s="163"/>
      <c r="P212" s="163"/>
      <c r="Q212" s="162"/>
      <c r="R212" s="162"/>
      <c r="S212" s="162"/>
      <c r="T212" s="163"/>
      <c r="U212" s="162"/>
      <c r="V212" s="162"/>
      <c r="W212" s="162"/>
      <c r="X212" s="162"/>
      <c r="Y212" s="162"/>
      <c r="Z212" s="162"/>
      <c r="AA212" s="162"/>
      <c r="AB212" s="162"/>
      <c r="AC212" s="162"/>
      <c r="AD212" s="162"/>
      <c r="AE212" s="162"/>
    </row>
    <row r="213" spans="1:31" s="924" customFormat="1">
      <c r="A213" s="162"/>
      <c r="B213" s="1764"/>
      <c r="C213" s="163"/>
      <c r="D213" s="163"/>
      <c r="E213" s="163"/>
      <c r="F213" s="163"/>
      <c r="G213" s="163"/>
      <c r="H213" s="163"/>
      <c r="I213" s="163"/>
      <c r="J213" s="163"/>
      <c r="K213" s="163"/>
      <c r="L213" s="163"/>
      <c r="M213" s="163"/>
      <c r="N213" s="163"/>
      <c r="O213" s="163"/>
      <c r="P213" s="163"/>
      <c r="Q213" s="162"/>
      <c r="R213" s="162"/>
      <c r="S213" s="162"/>
      <c r="T213" s="163"/>
      <c r="U213" s="162"/>
      <c r="V213" s="162"/>
      <c r="W213" s="162"/>
      <c r="X213" s="162"/>
      <c r="Y213" s="162"/>
      <c r="Z213" s="162"/>
      <c r="AA213" s="162"/>
      <c r="AB213" s="162"/>
      <c r="AC213" s="162"/>
      <c r="AD213" s="162"/>
      <c r="AE213" s="162"/>
    </row>
    <row r="214" spans="1:31" s="924" customFormat="1">
      <c r="A214" s="162"/>
      <c r="B214" s="1764"/>
      <c r="C214" s="163"/>
      <c r="D214" s="163"/>
      <c r="E214" s="163"/>
      <c r="F214" s="163"/>
      <c r="G214" s="163"/>
      <c r="H214" s="163"/>
      <c r="I214" s="163"/>
      <c r="J214" s="163"/>
      <c r="K214" s="163"/>
      <c r="L214" s="163"/>
      <c r="M214" s="163"/>
      <c r="N214" s="163"/>
      <c r="O214" s="163"/>
      <c r="P214" s="163"/>
      <c r="Q214" s="162"/>
      <c r="R214" s="162"/>
      <c r="S214" s="162"/>
      <c r="T214" s="163"/>
      <c r="U214" s="162"/>
      <c r="V214" s="162"/>
      <c r="W214" s="162"/>
      <c r="X214" s="162"/>
      <c r="Y214" s="162"/>
      <c r="Z214" s="162"/>
      <c r="AA214" s="162"/>
      <c r="AB214" s="162"/>
      <c r="AC214" s="162"/>
      <c r="AD214" s="162"/>
      <c r="AE214" s="162"/>
    </row>
    <row r="215" spans="1:31" s="924" customFormat="1">
      <c r="A215" s="162"/>
      <c r="B215" s="1764"/>
      <c r="C215" s="163"/>
      <c r="D215" s="163"/>
      <c r="E215" s="163"/>
      <c r="F215" s="163"/>
      <c r="G215" s="163"/>
      <c r="H215" s="163"/>
      <c r="I215" s="163"/>
      <c r="J215" s="163"/>
      <c r="K215" s="163"/>
      <c r="L215" s="163"/>
      <c r="M215" s="163"/>
      <c r="N215" s="163"/>
      <c r="O215" s="163"/>
      <c r="P215" s="163"/>
      <c r="Q215" s="162"/>
      <c r="R215" s="162"/>
      <c r="S215" s="162"/>
      <c r="T215" s="163"/>
      <c r="U215" s="162"/>
      <c r="V215" s="162"/>
      <c r="W215" s="162"/>
      <c r="X215" s="162"/>
      <c r="Y215" s="162"/>
      <c r="Z215" s="162"/>
      <c r="AA215" s="162"/>
      <c r="AB215" s="162"/>
      <c r="AC215" s="162"/>
      <c r="AD215" s="162"/>
      <c r="AE215" s="162"/>
    </row>
    <row r="216" spans="1:31" s="924" customFormat="1">
      <c r="A216" s="162"/>
      <c r="B216" s="1764"/>
      <c r="C216" s="163"/>
      <c r="D216" s="163"/>
      <c r="E216" s="163"/>
      <c r="F216" s="163"/>
      <c r="G216" s="163"/>
      <c r="H216" s="163"/>
      <c r="I216" s="163"/>
      <c r="J216" s="163"/>
      <c r="K216" s="163"/>
      <c r="L216" s="163"/>
      <c r="M216" s="163"/>
      <c r="N216" s="163"/>
      <c r="O216" s="163"/>
      <c r="P216" s="163"/>
      <c r="Q216" s="162"/>
      <c r="R216" s="162"/>
      <c r="S216" s="162"/>
      <c r="T216" s="163"/>
      <c r="U216" s="162"/>
      <c r="V216" s="162"/>
      <c r="W216" s="162"/>
      <c r="X216" s="162"/>
      <c r="Y216" s="162"/>
      <c r="Z216" s="162"/>
      <c r="AA216" s="162"/>
      <c r="AB216" s="162"/>
      <c r="AC216" s="162"/>
      <c r="AD216" s="162"/>
      <c r="AE216" s="162"/>
    </row>
    <row r="217" spans="1:31" s="924" customFormat="1">
      <c r="A217" s="162"/>
      <c r="B217" s="1764"/>
      <c r="C217" s="163"/>
      <c r="D217" s="163"/>
      <c r="E217" s="163"/>
      <c r="F217" s="163"/>
      <c r="G217" s="163"/>
      <c r="H217" s="163"/>
      <c r="I217" s="163"/>
      <c r="J217" s="163"/>
      <c r="K217" s="163"/>
      <c r="L217" s="163"/>
      <c r="M217" s="163"/>
      <c r="N217" s="163"/>
      <c r="O217" s="163"/>
      <c r="P217" s="163"/>
      <c r="Q217" s="162"/>
      <c r="R217" s="162"/>
      <c r="S217" s="162"/>
      <c r="T217" s="163"/>
      <c r="U217" s="162"/>
      <c r="V217" s="162"/>
      <c r="W217" s="162"/>
      <c r="X217" s="162"/>
      <c r="Y217" s="162"/>
      <c r="Z217" s="162"/>
      <c r="AA217" s="162"/>
      <c r="AB217" s="162"/>
      <c r="AC217" s="162"/>
      <c r="AD217" s="162"/>
      <c r="AE217" s="162"/>
    </row>
    <row r="218" spans="1:31" s="924" customFormat="1">
      <c r="A218" s="162"/>
      <c r="B218" s="1764"/>
      <c r="C218" s="163"/>
      <c r="D218" s="163"/>
      <c r="E218" s="163"/>
      <c r="F218" s="163"/>
      <c r="G218" s="163"/>
      <c r="H218" s="163"/>
      <c r="I218" s="163"/>
      <c r="J218" s="163"/>
      <c r="K218" s="163"/>
      <c r="L218" s="163"/>
      <c r="M218" s="163"/>
      <c r="N218" s="163"/>
      <c r="O218" s="163"/>
      <c r="P218" s="163"/>
      <c r="Q218" s="162"/>
      <c r="R218" s="162"/>
      <c r="S218" s="162"/>
      <c r="T218" s="163"/>
      <c r="U218" s="162"/>
      <c r="V218" s="162"/>
      <c r="W218" s="162"/>
      <c r="X218" s="162"/>
      <c r="Y218" s="162"/>
      <c r="Z218" s="162"/>
      <c r="AA218" s="162"/>
      <c r="AB218" s="162"/>
      <c r="AC218" s="162"/>
      <c r="AD218" s="162"/>
      <c r="AE218" s="162"/>
    </row>
    <row r="219" spans="1:31" s="924" customFormat="1">
      <c r="A219" s="162"/>
      <c r="B219" s="1764"/>
      <c r="C219" s="163"/>
      <c r="D219" s="163"/>
      <c r="E219" s="163"/>
      <c r="F219" s="163"/>
      <c r="G219" s="163"/>
      <c r="H219" s="163"/>
      <c r="I219" s="163"/>
      <c r="J219" s="163"/>
      <c r="K219" s="163"/>
      <c r="L219" s="163"/>
      <c r="M219" s="163"/>
      <c r="N219" s="163"/>
      <c r="O219" s="163"/>
      <c r="P219" s="163"/>
      <c r="Q219" s="162"/>
      <c r="R219" s="162"/>
      <c r="S219" s="162"/>
      <c r="T219" s="163"/>
      <c r="U219" s="162"/>
      <c r="V219" s="162"/>
      <c r="W219" s="162"/>
      <c r="X219" s="162"/>
      <c r="Y219" s="162"/>
      <c r="Z219" s="162"/>
      <c r="AA219" s="162"/>
      <c r="AB219" s="162"/>
      <c r="AC219" s="162"/>
      <c r="AD219" s="162"/>
      <c r="AE219" s="162"/>
    </row>
    <row r="220" spans="1:31" s="924" customFormat="1">
      <c r="A220" s="162"/>
      <c r="B220" s="1764"/>
      <c r="C220" s="163"/>
      <c r="D220" s="163"/>
      <c r="E220" s="163"/>
      <c r="F220" s="163"/>
      <c r="G220" s="163"/>
      <c r="H220" s="163"/>
      <c r="I220" s="163"/>
      <c r="J220" s="163"/>
      <c r="K220" s="163"/>
      <c r="L220" s="163"/>
      <c r="M220" s="163"/>
      <c r="N220" s="163"/>
      <c r="O220" s="163"/>
      <c r="P220" s="163"/>
      <c r="Q220" s="162"/>
      <c r="R220" s="162"/>
      <c r="S220" s="162"/>
      <c r="T220" s="163"/>
      <c r="U220" s="162"/>
      <c r="V220" s="162"/>
      <c r="W220" s="162"/>
      <c r="X220" s="162"/>
      <c r="Y220" s="162"/>
      <c r="Z220" s="162"/>
      <c r="AA220" s="162"/>
      <c r="AB220" s="162"/>
      <c r="AC220" s="162"/>
      <c r="AD220" s="162"/>
      <c r="AE220" s="162"/>
    </row>
    <row r="221" spans="1:31" s="924" customFormat="1">
      <c r="A221" s="162"/>
      <c r="B221" s="1764"/>
      <c r="C221" s="163"/>
      <c r="D221" s="163"/>
      <c r="E221" s="163"/>
      <c r="F221" s="163"/>
      <c r="G221" s="163"/>
      <c r="H221" s="163"/>
      <c r="I221" s="163"/>
      <c r="J221" s="163"/>
      <c r="K221" s="163"/>
      <c r="L221" s="163"/>
      <c r="M221" s="163"/>
      <c r="N221" s="163"/>
      <c r="O221" s="163"/>
      <c r="P221" s="163"/>
      <c r="Q221" s="162"/>
      <c r="R221" s="162"/>
      <c r="S221" s="162"/>
      <c r="T221" s="163"/>
      <c r="U221" s="162"/>
      <c r="V221" s="162"/>
      <c r="W221" s="162"/>
      <c r="X221" s="162"/>
      <c r="Y221" s="162"/>
      <c r="Z221" s="162"/>
      <c r="AA221" s="162"/>
      <c r="AB221" s="162"/>
      <c r="AC221" s="162"/>
      <c r="AD221" s="162"/>
      <c r="AE221" s="162"/>
    </row>
    <row r="222" spans="1:31" s="924" customFormat="1">
      <c r="A222" s="162"/>
      <c r="B222" s="1764"/>
      <c r="C222" s="163"/>
      <c r="D222" s="163"/>
      <c r="E222" s="163"/>
      <c r="F222" s="163"/>
      <c r="G222" s="163"/>
      <c r="H222" s="163"/>
      <c r="I222" s="163"/>
      <c r="J222" s="163"/>
      <c r="K222" s="163"/>
      <c r="L222" s="163"/>
      <c r="M222" s="163"/>
      <c r="N222" s="163"/>
      <c r="O222" s="163"/>
      <c r="P222" s="163"/>
      <c r="Q222" s="162"/>
      <c r="R222" s="162"/>
      <c r="S222" s="162"/>
      <c r="T222" s="163"/>
      <c r="U222" s="162"/>
      <c r="V222" s="162"/>
      <c r="W222" s="162"/>
      <c r="X222" s="162"/>
      <c r="Y222" s="162"/>
      <c r="Z222" s="162"/>
      <c r="AA222" s="162"/>
      <c r="AB222" s="162"/>
      <c r="AC222" s="162"/>
      <c r="AD222" s="162"/>
      <c r="AE222" s="162"/>
    </row>
    <row r="223" spans="1:31" s="924" customFormat="1">
      <c r="A223" s="162"/>
      <c r="B223" s="1764"/>
      <c r="C223" s="163"/>
      <c r="D223" s="163"/>
      <c r="E223" s="163"/>
      <c r="F223" s="163"/>
      <c r="G223" s="163"/>
      <c r="H223" s="163"/>
      <c r="I223" s="163"/>
      <c r="J223" s="163"/>
      <c r="K223" s="163"/>
      <c r="L223" s="163"/>
      <c r="M223" s="163"/>
      <c r="N223" s="163"/>
      <c r="O223" s="163"/>
      <c r="P223" s="163"/>
      <c r="Q223" s="162"/>
      <c r="R223" s="162"/>
      <c r="S223" s="162"/>
      <c r="T223" s="163"/>
      <c r="U223" s="162"/>
      <c r="V223" s="162"/>
      <c r="W223" s="162"/>
      <c r="X223" s="162"/>
      <c r="Y223" s="162"/>
      <c r="Z223" s="162"/>
      <c r="AA223" s="162"/>
      <c r="AB223" s="162"/>
      <c r="AC223" s="162"/>
      <c r="AD223" s="162"/>
      <c r="AE223" s="162"/>
    </row>
    <row r="224" spans="1:31" s="924" customFormat="1">
      <c r="A224" s="162"/>
      <c r="B224" s="1764"/>
      <c r="C224" s="163"/>
      <c r="D224" s="163"/>
      <c r="E224" s="163"/>
      <c r="F224" s="163"/>
      <c r="G224" s="163"/>
      <c r="H224" s="163"/>
      <c r="I224" s="163"/>
      <c r="J224" s="163"/>
      <c r="K224" s="163"/>
      <c r="L224" s="163"/>
      <c r="M224" s="163"/>
      <c r="N224" s="163"/>
      <c r="O224" s="163"/>
      <c r="P224" s="163"/>
      <c r="Q224" s="162"/>
      <c r="R224" s="162"/>
      <c r="S224" s="162"/>
      <c r="T224" s="163"/>
      <c r="U224" s="162"/>
      <c r="V224" s="162"/>
      <c r="W224" s="162"/>
      <c r="X224" s="162"/>
      <c r="Y224" s="162"/>
      <c r="Z224" s="162"/>
      <c r="AA224" s="162"/>
      <c r="AB224" s="162"/>
      <c r="AC224" s="162"/>
      <c r="AD224" s="162"/>
      <c r="AE224" s="162"/>
    </row>
    <row r="225" spans="1:31" s="924" customFormat="1">
      <c r="A225" s="162"/>
      <c r="B225" s="1764"/>
      <c r="C225" s="163"/>
      <c r="D225" s="163"/>
      <c r="E225" s="163"/>
      <c r="F225" s="163"/>
      <c r="G225" s="163"/>
      <c r="H225" s="163"/>
      <c r="I225" s="163"/>
      <c r="J225" s="163"/>
      <c r="K225" s="163"/>
      <c r="L225" s="163"/>
      <c r="M225" s="163"/>
      <c r="N225" s="163"/>
      <c r="O225" s="163"/>
      <c r="P225" s="163"/>
      <c r="Q225" s="162"/>
      <c r="R225" s="162"/>
      <c r="S225" s="162"/>
      <c r="T225" s="163"/>
      <c r="U225" s="162"/>
      <c r="V225" s="162"/>
      <c r="W225" s="162"/>
      <c r="X225" s="162"/>
      <c r="Y225" s="162"/>
      <c r="Z225" s="162"/>
      <c r="AA225" s="162"/>
      <c r="AB225" s="162"/>
      <c r="AC225" s="162"/>
      <c r="AD225" s="162"/>
      <c r="AE225" s="162"/>
    </row>
    <row r="226" spans="1:31" s="924" customFormat="1">
      <c r="A226" s="162"/>
      <c r="B226" s="1764"/>
      <c r="C226" s="163"/>
      <c r="D226" s="163"/>
      <c r="E226" s="163"/>
      <c r="F226" s="163"/>
      <c r="G226" s="163"/>
      <c r="H226" s="163"/>
      <c r="I226" s="163"/>
      <c r="J226" s="163"/>
      <c r="K226" s="163"/>
      <c r="L226" s="163"/>
      <c r="M226" s="163"/>
      <c r="N226" s="163"/>
      <c r="O226" s="163"/>
      <c r="P226" s="163"/>
      <c r="Q226" s="162"/>
      <c r="R226" s="162"/>
      <c r="S226" s="162"/>
      <c r="T226" s="163"/>
      <c r="U226" s="162"/>
      <c r="V226" s="162"/>
      <c r="W226" s="162"/>
      <c r="X226" s="162"/>
      <c r="Y226" s="162"/>
      <c r="Z226" s="162"/>
      <c r="AA226" s="162"/>
      <c r="AB226" s="162"/>
      <c r="AC226" s="162"/>
      <c r="AD226" s="162"/>
      <c r="AE226" s="162"/>
    </row>
    <row r="227" spans="1:31" s="924" customFormat="1">
      <c r="A227" s="162"/>
      <c r="B227" s="1764"/>
      <c r="C227" s="163"/>
      <c r="D227" s="163"/>
      <c r="E227" s="163"/>
      <c r="F227" s="163"/>
      <c r="G227" s="163"/>
      <c r="H227" s="163"/>
      <c r="I227" s="163"/>
      <c r="J227" s="163"/>
      <c r="K227" s="163"/>
      <c r="L227" s="163"/>
      <c r="M227" s="163"/>
      <c r="N227" s="163"/>
      <c r="O227" s="163"/>
      <c r="P227" s="163"/>
      <c r="Q227" s="162"/>
      <c r="R227" s="162"/>
      <c r="S227" s="162"/>
      <c r="T227" s="163"/>
      <c r="U227" s="162"/>
      <c r="V227" s="162"/>
      <c r="W227" s="162"/>
      <c r="X227" s="162"/>
      <c r="Y227" s="162"/>
      <c r="Z227" s="162"/>
      <c r="AA227" s="162"/>
      <c r="AB227" s="162"/>
      <c r="AC227" s="162"/>
      <c r="AD227" s="162"/>
      <c r="AE227" s="162"/>
    </row>
    <row r="228" spans="1:31" s="924" customFormat="1">
      <c r="A228" s="162"/>
      <c r="B228" s="1764"/>
      <c r="C228" s="163"/>
      <c r="D228" s="163"/>
      <c r="E228" s="163"/>
      <c r="F228" s="163"/>
      <c r="G228" s="163"/>
      <c r="H228" s="163"/>
      <c r="I228" s="163"/>
      <c r="J228" s="163"/>
      <c r="K228" s="163"/>
      <c r="L228" s="163"/>
      <c r="M228" s="163"/>
      <c r="N228" s="163"/>
      <c r="O228" s="163"/>
      <c r="P228" s="163"/>
      <c r="Q228" s="162"/>
      <c r="R228" s="162"/>
      <c r="S228" s="162"/>
      <c r="T228" s="163"/>
      <c r="U228" s="162"/>
      <c r="V228" s="162"/>
      <c r="W228" s="162"/>
      <c r="X228" s="162"/>
      <c r="Y228" s="162"/>
      <c r="Z228" s="162"/>
      <c r="AA228" s="162"/>
      <c r="AB228" s="162"/>
      <c r="AC228" s="162"/>
      <c r="AD228" s="162"/>
      <c r="AE228" s="162"/>
    </row>
    <row r="229" spans="1:31" s="924" customFormat="1">
      <c r="A229" s="162"/>
      <c r="B229" s="1764"/>
      <c r="C229" s="163"/>
      <c r="D229" s="163"/>
      <c r="E229" s="163"/>
      <c r="F229" s="163"/>
      <c r="G229" s="163"/>
      <c r="H229" s="163"/>
      <c r="I229" s="163"/>
      <c r="J229" s="163"/>
      <c r="K229" s="163"/>
      <c r="L229" s="163"/>
      <c r="M229" s="163"/>
      <c r="N229" s="163"/>
      <c r="O229" s="163"/>
      <c r="P229" s="163"/>
      <c r="Q229" s="162"/>
      <c r="R229" s="162"/>
      <c r="S229" s="162"/>
      <c r="T229" s="163"/>
      <c r="U229" s="162"/>
      <c r="V229" s="162"/>
      <c r="W229" s="162"/>
      <c r="X229" s="162"/>
      <c r="Y229" s="162"/>
      <c r="Z229" s="162"/>
      <c r="AA229" s="162"/>
      <c r="AB229" s="162"/>
      <c r="AC229" s="162"/>
      <c r="AD229" s="162"/>
      <c r="AE229" s="162"/>
    </row>
    <row r="230" spans="1:31" s="924" customFormat="1">
      <c r="A230" s="162"/>
      <c r="B230" s="1764"/>
      <c r="C230" s="163"/>
      <c r="D230" s="163"/>
      <c r="E230" s="163"/>
      <c r="F230" s="163"/>
      <c r="G230" s="163"/>
      <c r="H230" s="163"/>
      <c r="I230" s="163"/>
      <c r="J230" s="163"/>
      <c r="K230" s="163"/>
      <c r="L230" s="163"/>
      <c r="M230" s="163"/>
      <c r="N230" s="163"/>
      <c r="O230" s="163"/>
      <c r="P230" s="163"/>
      <c r="Q230" s="162"/>
      <c r="R230" s="162"/>
      <c r="S230" s="162"/>
      <c r="T230" s="163"/>
      <c r="U230" s="162"/>
      <c r="V230" s="162"/>
      <c r="W230" s="162"/>
      <c r="X230" s="162"/>
      <c r="Y230" s="162"/>
      <c r="Z230" s="162"/>
      <c r="AA230" s="162"/>
      <c r="AB230" s="162"/>
      <c r="AC230" s="162"/>
      <c r="AD230" s="162"/>
      <c r="AE230" s="162"/>
    </row>
    <row r="231" spans="1:31" s="924" customFormat="1">
      <c r="A231" s="162"/>
      <c r="B231" s="1764"/>
      <c r="C231" s="163"/>
      <c r="D231" s="163"/>
      <c r="E231" s="163"/>
      <c r="F231" s="163"/>
      <c r="G231" s="163"/>
      <c r="H231" s="163"/>
      <c r="I231" s="163"/>
      <c r="J231" s="163"/>
      <c r="K231" s="163"/>
      <c r="L231" s="163"/>
      <c r="M231" s="163"/>
      <c r="N231" s="163"/>
      <c r="O231" s="163"/>
      <c r="P231" s="163"/>
      <c r="Q231" s="162"/>
      <c r="R231" s="162"/>
      <c r="S231" s="162"/>
      <c r="T231" s="163"/>
      <c r="U231" s="162"/>
      <c r="V231" s="162"/>
      <c r="W231" s="162"/>
      <c r="X231" s="162"/>
      <c r="Y231" s="162"/>
      <c r="Z231" s="162"/>
      <c r="AA231" s="162"/>
      <c r="AB231" s="162"/>
      <c r="AC231" s="162"/>
      <c r="AD231" s="162"/>
      <c r="AE231" s="162"/>
    </row>
    <row r="232" spans="1:31" s="924" customFormat="1">
      <c r="A232" s="162"/>
      <c r="B232" s="1764"/>
      <c r="C232" s="163"/>
      <c r="D232" s="163"/>
      <c r="E232" s="163"/>
      <c r="F232" s="163"/>
      <c r="G232" s="163"/>
      <c r="H232" s="163"/>
      <c r="I232" s="163"/>
      <c r="J232" s="163"/>
      <c r="K232" s="163"/>
      <c r="L232" s="163"/>
      <c r="M232" s="163"/>
      <c r="N232" s="163"/>
      <c r="O232" s="163"/>
      <c r="P232" s="163"/>
      <c r="Q232" s="162"/>
      <c r="R232" s="162"/>
      <c r="S232" s="162"/>
      <c r="T232" s="163"/>
      <c r="U232" s="162"/>
      <c r="V232" s="162"/>
      <c r="W232" s="162"/>
      <c r="X232" s="162"/>
      <c r="Y232" s="162"/>
      <c r="Z232" s="162"/>
      <c r="AA232" s="162"/>
      <c r="AB232" s="162"/>
      <c r="AC232" s="162"/>
      <c r="AD232" s="162"/>
      <c r="AE232" s="162"/>
    </row>
    <row r="233" spans="1:31" s="924" customFormat="1">
      <c r="A233" s="162"/>
      <c r="B233" s="1764"/>
      <c r="C233" s="163"/>
      <c r="D233" s="163"/>
      <c r="E233" s="163"/>
      <c r="F233" s="163"/>
      <c r="G233" s="163"/>
      <c r="H233" s="163"/>
      <c r="I233" s="163"/>
      <c r="J233" s="163"/>
      <c r="K233" s="163"/>
      <c r="L233" s="163"/>
      <c r="M233" s="163"/>
      <c r="N233" s="163"/>
      <c r="O233" s="163"/>
      <c r="P233" s="163"/>
      <c r="Q233" s="162"/>
      <c r="R233" s="162"/>
      <c r="S233" s="162"/>
      <c r="T233" s="163"/>
      <c r="U233" s="162"/>
      <c r="V233" s="162"/>
      <c r="W233" s="162"/>
      <c r="X233" s="162"/>
      <c r="Y233" s="162"/>
      <c r="Z233" s="162"/>
      <c r="AA233" s="162"/>
      <c r="AB233" s="162"/>
      <c r="AC233" s="162"/>
      <c r="AD233" s="162"/>
      <c r="AE233" s="162"/>
    </row>
    <row r="234" spans="1:31" s="924" customFormat="1">
      <c r="A234" s="162"/>
      <c r="B234" s="1764"/>
      <c r="C234" s="163"/>
      <c r="D234" s="163"/>
      <c r="E234" s="163"/>
      <c r="F234" s="163"/>
      <c r="G234" s="163"/>
      <c r="H234" s="163"/>
      <c r="I234" s="163"/>
      <c r="J234" s="163"/>
      <c r="K234" s="163"/>
      <c r="L234" s="163"/>
      <c r="M234" s="163"/>
      <c r="N234" s="163"/>
      <c r="O234" s="163"/>
      <c r="P234" s="163"/>
      <c r="Q234" s="162"/>
      <c r="R234" s="162"/>
      <c r="S234" s="162"/>
      <c r="T234" s="163"/>
      <c r="U234" s="162"/>
      <c r="V234" s="162"/>
      <c r="W234" s="162"/>
      <c r="X234" s="162"/>
      <c r="Y234" s="162"/>
      <c r="Z234" s="162"/>
      <c r="AA234" s="162"/>
      <c r="AB234" s="162"/>
      <c r="AC234" s="162"/>
      <c r="AD234" s="162"/>
      <c r="AE234" s="162"/>
    </row>
    <row r="235" spans="1:31" s="924" customFormat="1">
      <c r="A235" s="162"/>
      <c r="B235" s="1764"/>
      <c r="C235" s="163"/>
      <c r="D235" s="163"/>
      <c r="E235" s="163"/>
      <c r="F235" s="163"/>
      <c r="G235" s="163"/>
      <c r="H235" s="163"/>
      <c r="I235" s="163"/>
      <c r="J235" s="163"/>
      <c r="K235" s="163"/>
      <c r="L235" s="163"/>
      <c r="M235" s="163"/>
      <c r="N235" s="163"/>
      <c r="O235" s="163"/>
      <c r="P235" s="163"/>
      <c r="Q235" s="162"/>
      <c r="R235" s="162"/>
      <c r="S235" s="162"/>
      <c r="T235" s="163"/>
      <c r="U235" s="162"/>
      <c r="V235" s="162"/>
      <c r="W235" s="162"/>
      <c r="X235" s="162"/>
      <c r="Y235" s="162"/>
      <c r="Z235" s="162"/>
      <c r="AA235" s="162"/>
      <c r="AB235" s="162"/>
      <c r="AC235" s="162"/>
      <c r="AD235" s="162"/>
      <c r="AE235" s="162"/>
    </row>
    <row r="236" spans="1:31" s="924" customFormat="1">
      <c r="A236" s="162"/>
      <c r="B236" s="1764"/>
      <c r="C236" s="163"/>
      <c r="D236" s="163"/>
      <c r="E236" s="163"/>
      <c r="F236" s="163"/>
      <c r="G236" s="163"/>
      <c r="H236" s="163"/>
      <c r="I236" s="163"/>
      <c r="J236" s="163"/>
      <c r="K236" s="163"/>
      <c r="L236" s="163"/>
      <c r="M236" s="163"/>
      <c r="N236" s="163"/>
      <c r="O236" s="163"/>
      <c r="P236" s="163"/>
      <c r="Q236" s="162"/>
      <c r="R236" s="162"/>
      <c r="S236" s="162"/>
      <c r="T236" s="163"/>
      <c r="U236" s="162"/>
      <c r="V236" s="162"/>
      <c r="W236" s="162"/>
      <c r="X236" s="162"/>
      <c r="Y236" s="162"/>
      <c r="Z236" s="162"/>
      <c r="AA236" s="162"/>
      <c r="AB236" s="162"/>
      <c r="AC236" s="162"/>
      <c r="AD236" s="162"/>
      <c r="AE236" s="162"/>
    </row>
    <row r="237" spans="1:31" s="924" customFormat="1">
      <c r="A237" s="162"/>
      <c r="B237" s="1764"/>
      <c r="C237" s="163"/>
      <c r="D237" s="163"/>
      <c r="E237" s="163"/>
      <c r="F237" s="163"/>
      <c r="G237" s="163"/>
      <c r="H237" s="163"/>
      <c r="I237" s="163"/>
      <c r="J237" s="163"/>
      <c r="K237" s="163"/>
      <c r="L237" s="163"/>
      <c r="M237" s="163"/>
      <c r="N237" s="163"/>
      <c r="O237" s="163"/>
      <c r="P237" s="163"/>
      <c r="Q237" s="162"/>
      <c r="R237" s="162"/>
      <c r="S237" s="162"/>
      <c r="T237" s="163"/>
      <c r="U237" s="162"/>
      <c r="V237" s="162"/>
      <c r="W237" s="162"/>
      <c r="X237" s="162"/>
      <c r="Y237" s="162"/>
      <c r="Z237" s="162"/>
      <c r="AA237" s="162"/>
      <c r="AB237" s="162"/>
      <c r="AC237" s="162"/>
      <c r="AD237" s="162"/>
      <c r="AE237" s="162"/>
    </row>
    <row r="238" spans="1:31" s="924" customFormat="1">
      <c r="A238" s="162"/>
      <c r="B238" s="1764"/>
      <c r="C238" s="163"/>
      <c r="D238" s="163"/>
      <c r="E238" s="163"/>
      <c r="F238" s="163"/>
      <c r="G238" s="163"/>
      <c r="H238" s="163"/>
      <c r="I238" s="163"/>
      <c r="J238" s="163"/>
      <c r="K238" s="163"/>
      <c r="L238" s="163"/>
      <c r="M238" s="163"/>
      <c r="N238" s="163"/>
      <c r="O238" s="163"/>
      <c r="P238" s="163"/>
      <c r="Q238" s="162"/>
      <c r="R238" s="162"/>
      <c r="S238" s="162"/>
      <c r="T238" s="163"/>
      <c r="U238" s="162"/>
      <c r="V238" s="162"/>
      <c r="W238" s="162"/>
      <c r="X238" s="162"/>
      <c r="Y238" s="162"/>
      <c r="Z238" s="162"/>
      <c r="AA238" s="162"/>
      <c r="AB238" s="162"/>
      <c r="AC238" s="162"/>
      <c r="AD238" s="162"/>
      <c r="AE238" s="162"/>
    </row>
    <row r="239" spans="1:31" s="924" customFormat="1">
      <c r="A239" s="162"/>
      <c r="B239" s="1764"/>
      <c r="C239" s="163"/>
      <c r="D239" s="163"/>
      <c r="E239" s="163"/>
      <c r="F239" s="163"/>
      <c r="G239" s="163"/>
      <c r="H239" s="163"/>
      <c r="I239" s="163"/>
      <c r="J239" s="163"/>
      <c r="K239" s="163"/>
      <c r="L239" s="163"/>
      <c r="M239" s="163"/>
      <c r="N239" s="163"/>
      <c r="O239" s="163"/>
      <c r="P239" s="163"/>
      <c r="Q239" s="162"/>
      <c r="R239" s="162"/>
      <c r="S239" s="162"/>
      <c r="T239" s="163"/>
      <c r="U239" s="162"/>
      <c r="V239" s="162"/>
      <c r="W239" s="162"/>
      <c r="X239" s="162"/>
      <c r="Y239" s="162"/>
      <c r="Z239" s="162"/>
      <c r="AA239" s="162"/>
      <c r="AB239" s="162"/>
      <c r="AC239" s="162"/>
      <c r="AD239" s="162"/>
      <c r="AE239" s="162"/>
    </row>
    <row r="240" spans="1:31" s="924" customFormat="1">
      <c r="A240" s="162"/>
      <c r="B240" s="1764"/>
      <c r="C240" s="163"/>
      <c r="D240" s="163"/>
      <c r="E240" s="163"/>
      <c r="F240" s="163"/>
      <c r="G240" s="163"/>
      <c r="H240" s="163"/>
      <c r="I240" s="163"/>
      <c r="J240" s="163"/>
      <c r="K240" s="163"/>
      <c r="L240" s="163"/>
      <c r="M240" s="163"/>
      <c r="N240" s="163"/>
      <c r="O240" s="163"/>
      <c r="P240" s="163"/>
      <c r="Q240" s="162"/>
      <c r="R240" s="162"/>
      <c r="S240" s="162"/>
      <c r="T240" s="163"/>
      <c r="U240" s="162"/>
      <c r="V240" s="162"/>
      <c r="W240" s="162"/>
      <c r="X240" s="162"/>
      <c r="Y240" s="162"/>
      <c r="Z240" s="162"/>
      <c r="AA240" s="162"/>
      <c r="AB240" s="162"/>
      <c r="AC240" s="162"/>
      <c r="AD240" s="162"/>
      <c r="AE240" s="162"/>
    </row>
    <row r="241" spans="1:31" s="924" customFormat="1">
      <c r="A241" s="162"/>
      <c r="B241" s="1764"/>
      <c r="C241" s="163"/>
      <c r="D241" s="163"/>
      <c r="E241" s="163"/>
      <c r="F241" s="163"/>
      <c r="G241" s="163"/>
      <c r="H241" s="163"/>
      <c r="I241" s="163"/>
      <c r="J241" s="163"/>
      <c r="K241" s="163"/>
      <c r="L241" s="163"/>
      <c r="M241" s="163"/>
      <c r="N241" s="163"/>
      <c r="O241" s="163"/>
      <c r="P241" s="163"/>
      <c r="Q241" s="162"/>
      <c r="R241" s="162"/>
      <c r="S241" s="162"/>
      <c r="T241" s="163"/>
      <c r="U241" s="162"/>
      <c r="V241" s="162"/>
      <c r="W241" s="162"/>
      <c r="X241" s="162"/>
      <c r="Y241" s="162"/>
      <c r="Z241" s="162"/>
      <c r="AA241" s="162"/>
      <c r="AB241" s="162"/>
      <c r="AC241" s="162"/>
      <c r="AD241" s="162"/>
      <c r="AE241" s="162"/>
    </row>
    <row r="242" spans="1:31" s="924" customFormat="1">
      <c r="A242" s="162"/>
      <c r="B242" s="1764"/>
      <c r="C242" s="163"/>
      <c r="D242" s="163"/>
      <c r="E242" s="163"/>
      <c r="F242" s="163"/>
      <c r="G242" s="163"/>
      <c r="H242" s="163"/>
      <c r="I242" s="163"/>
      <c r="J242" s="163"/>
      <c r="K242" s="163"/>
      <c r="L242" s="163"/>
      <c r="M242" s="163"/>
      <c r="N242" s="163"/>
      <c r="O242" s="163"/>
      <c r="P242" s="163"/>
      <c r="Q242" s="162"/>
      <c r="R242" s="162"/>
      <c r="S242" s="162"/>
      <c r="T242" s="163"/>
      <c r="U242" s="162"/>
      <c r="V242" s="162"/>
      <c r="W242" s="162"/>
      <c r="X242" s="162"/>
      <c r="Y242" s="162"/>
      <c r="Z242" s="162"/>
      <c r="AA242" s="162"/>
      <c r="AB242" s="162"/>
      <c r="AC242" s="162"/>
      <c r="AD242" s="162"/>
      <c r="AE242" s="162"/>
    </row>
    <row r="243" spans="1:31" s="924" customFormat="1">
      <c r="A243" s="162"/>
      <c r="B243" s="1764"/>
      <c r="C243" s="163"/>
      <c r="D243" s="163"/>
      <c r="E243" s="163"/>
      <c r="F243" s="163"/>
      <c r="G243" s="163"/>
      <c r="H243" s="163"/>
      <c r="I243" s="163"/>
      <c r="J243" s="163"/>
      <c r="K243" s="163"/>
      <c r="L243" s="163"/>
      <c r="M243" s="163"/>
      <c r="N243" s="163"/>
      <c r="O243" s="163"/>
      <c r="P243" s="163"/>
      <c r="Q243" s="162"/>
      <c r="R243" s="162"/>
      <c r="S243" s="162"/>
      <c r="T243" s="163"/>
      <c r="U243" s="162"/>
      <c r="V243" s="162"/>
      <c r="W243" s="162"/>
      <c r="X243" s="162"/>
      <c r="Y243" s="162"/>
      <c r="Z243" s="162"/>
      <c r="AA243" s="162"/>
      <c r="AB243" s="162"/>
      <c r="AC243" s="162"/>
      <c r="AD243" s="162"/>
      <c r="AE243" s="162"/>
    </row>
    <row r="244" spans="1:31" s="924" customFormat="1">
      <c r="A244" s="162"/>
      <c r="B244" s="1764"/>
      <c r="C244" s="163"/>
      <c r="D244" s="163"/>
      <c r="E244" s="163"/>
      <c r="F244" s="163"/>
      <c r="G244" s="163"/>
      <c r="H244" s="163"/>
      <c r="I244" s="163"/>
      <c r="J244" s="163"/>
      <c r="K244" s="163"/>
      <c r="L244" s="163"/>
      <c r="M244" s="163"/>
      <c r="N244" s="163"/>
      <c r="O244" s="163"/>
      <c r="P244" s="163"/>
      <c r="Q244" s="162"/>
      <c r="R244" s="162"/>
      <c r="S244" s="162"/>
      <c r="T244" s="163"/>
      <c r="U244" s="162"/>
      <c r="V244" s="162"/>
      <c r="W244" s="162"/>
      <c r="X244" s="162"/>
      <c r="Y244" s="162"/>
      <c r="Z244" s="162"/>
      <c r="AA244" s="162"/>
      <c r="AB244" s="162"/>
      <c r="AC244" s="162"/>
      <c r="AD244" s="162"/>
      <c r="AE244" s="162"/>
    </row>
    <row r="245" spans="1:31" s="924" customFormat="1">
      <c r="A245" s="162"/>
      <c r="B245" s="1764"/>
      <c r="C245" s="163"/>
      <c r="D245" s="163"/>
      <c r="E245" s="163"/>
      <c r="F245" s="163"/>
      <c r="G245" s="163"/>
      <c r="H245" s="163"/>
      <c r="I245" s="163"/>
      <c r="J245" s="163"/>
      <c r="K245" s="163"/>
      <c r="L245" s="163"/>
      <c r="M245" s="163"/>
      <c r="N245" s="163"/>
      <c r="O245" s="163"/>
      <c r="P245" s="163"/>
      <c r="Q245" s="162"/>
      <c r="R245" s="162"/>
      <c r="S245" s="162"/>
      <c r="T245" s="163"/>
      <c r="U245" s="162"/>
      <c r="V245" s="162"/>
      <c r="W245" s="162"/>
      <c r="X245" s="162"/>
      <c r="Y245" s="162"/>
      <c r="Z245" s="162"/>
      <c r="AA245" s="162"/>
      <c r="AB245" s="162"/>
      <c r="AC245" s="162"/>
      <c r="AD245" s="162"/>
      <c r="AE245" s="162"/>
    </row>
    <row r="246" spans="1:31" s="924" customFormat="1">
      <c r="A246" s="162"/>
      <c r="B246" s="1764"/>
      <c r="C246" s="163"/>
      <c r="D246" s="163"/>
      <c r="E246" s="163"/>
      <c r="F246" s="163"/>
      <c r="G246" s="163"/>
      <c r="H246" s="163"/>
      <c r="I246" s="163"/>
      <c r="J246" s="163"/>
      <c r="K246" s="163"/>
      <c r="L246" s="163"/>
      <c r="M246" s="163"/>
      <c r="N246" s="163"/>
      <c r="O246" s="163"/>
      <c r="P246" s="163"/>
      <c r="Q246" s="162"/>
      <c r="R246" s="162"/>
      <c r="S246" s="162"/>
      <c r="T246" s="163"/>
      <c r="U246" s="162"/>
      <c r="V246" s="162"/>
      <c r="W246" s="162"/>
      <c r="X246" s="162"/>
      <c r="Y246" s="162"/>
      <c r="Z246" s="162"/>
      <c r="AA246" s="162"/>
      <c r="AB246" s="162"/>
      <c r="AC246" s="162"/>
      <c r="AD246" s="162"/>
      <c r="AE246" s="162"/>
    </row>
    <row r="247" spans="1:31" s="924" customFormat="1">
      <c r="A247" s="162"/>
      <c r="B247" s="1764"/>
      <c r="C247" s="163"/>
      <c r="D247" s="163"/>
      <c r="E247" s="163"/>
      <c r="F247" s="163"/>
      <c r="G247" s="163"/>
      <c r="H247" s="163"/>
      <c r="I247" s="163"/>
      <c r="J247" s="163"/>
      <c r="K247" s="163"/>
      <c r="L247" s="163"/>
      <c r="M247" s="163"/>
      <c r="N247" s="163"/>
      <c r="O247" s="163"/>
      <c r="P247" s="163"/>
      <c r="Q247" s="162"/>
      <c r="R247" s="162"/>
      <c r="S247" s="162"/>
      <c r="T247" s="163"/>
      <c r="U247" s="162"/>
      <c r="V247" s="162"/>
      <c r="W247" s="162"/>
      <c r="X247" s="162"/>
      <c r="Y247" s="162"/>
      <c r="Z247" s="162"/>
      <c r="AA247" s="162"/>
      <c r="AB247" s="162"/>
      <c r="AC247" s="162"/>
      <c r="AD247" s="162"/>
      <c r="AE247" s="162"/>
    </row>
    <row r="248" spans="1:31" s="924" customFormat="1">
      <c r="A248" s="162"/>
      <c r="B248" s="1764"/>
      <c r="C248" s="163"/>
      <c r="D248" s="163"/>
      <c r="E248" s="163"/>
      <c r="F248" s="163"/>
      <c r="G248" s="163"/>
      <c r="H248" s="163"/>
      <c r="I248" s="163"/>
      <c r="J248" s="163"/>
      <c r="K248" s="163"/>
      <c r="L248" s="163"/>
      <c r="M248" s="163"/>
      <c r="N248" s="163"/>
      <c r="O248" s="163"/>
      <c r="P248" s="163"/>
      <c r="Q248" s="162"/>
      <c r="R248" s="162"/>
      <c r="S248" s="162"/>
      <c r="T248" s="163"/>
      <c r="U248" s="162"/>
      <c r="V248" s="162"/>
      <c r="W248" s="162"/>
      <c r="X248" s="162"/>
      <c r="Y248" s="162"/>
      <c r="Z248" s="162"/>
      <c r="AA248" s="162"/>
      <c r="AB248" s="162"/>
      <c r="AC248" s="162"/>
      <c r="AD248" s="162"/>
      <c r="AE248" s="162"/>
    </row>
    <row r="249" spans="1:31" s="924" customFormat="1">
      <c r="A249" s="162"/>
      <c r="B249" s="1764"/>
      <c r="C249" s="163"/>
      <c r="D249" s="163"/>
      <c r="E249" s="163"/>
      <c r="F249" s="163"/>
      <c r="G249" s="163"/>
      <c r="H249" s="163"/>
      <c r="I249" s="163"/>
      <c r="J249" s="163"/>
      <c r="K249" s="163"/>
      <c r="L249" s="163"/>
      <c r="M249" s="163"/>
      <c r="N249" s="163"/>
      <c r="O249" s="163"/>
      <c r="P249" s="163"/>
      <c r="Q249" s="162"/>
      <c r="R249" s="162"/>
      <c r="S249" s="162"/>
      <c r="T249" s="163"/>
      <c r="U249" s="162"/>
      <c r="V249" s="162"/>
      <c r="W249" s="162"/>
      <c r="X249" s="162"/>
      <c r="Y249" s="162"/>
      <c r="Z249" s="162"/>
      <c r="AA249" s="162"/>
      <c r="AB249" s="162"/>
      <c r="AC249" s="162"/>
      <c r="AD249" s="162"/>
      <c r="AE249" s="162"/>
    </row>
    <row r="250" spans="1:31" s="924" customFormat="1">
      <c r="A250" s="162"/>
      <c r="B250" s="1764"/>
      <c r="C250" s="163"/>
      <c r="D250" s="163"/>
      <c r="E250" s="163"/>
      <c r="F250" s="163"/>
      <c r="G250" s="163"/>
      <c r="H250" s="163"/>
      <c r="I250" s="163"/>
      <c r="J250" s="163"/>
      <c r="K250" s="163"/>
      <c r="L250" s="163"/>
      <c r="M250" s="163"/>
      <c r="N250" s="163"/>
      <c r="O250" s="163"/>
      <c r="P250" s="163"/>
      <c r="Q250" s="162"/>
      <c r="R250" s="162"/>
      <c r="S250" s="162"/>
      <c r="T250" s="163"/>
      <c r="U250" s="162"/>
      <c r="V250" s="162"/>
      <c r="W250" s="162"/>
      <c r="X250" s="162"/>
      <c r="Y250" s="162"/>
      <c r="Z250" s="162"/>
      <c r="AA250" s="162"/>
      <c r="AB250" s="162"/>
      <c r="AC250" s="162"/>
      <c r="AD250" s="162"/>
      <c r="AE250" s="162"/>
    </row>
    <row r="251" spans="1:31" s="924" customFormat="1">
      <c r="A251" s="162"/>
      <c r="B251" s="1764"/>
      <c r="C251" s="163"/>
      <c r="D251" s="163"/>
      <c r="E251" s="163"/>
      <c r="F251" s="163"/>
      <c r="G251" s="163"/>
      <c r="H251" s="163"/>
      <c r="I251" s="163"/>
      <c r="J251" s="163"/>
      <c r="K251" s="163"/>
      <c r="L251" s="163"/>
      <c r="M251" s="163"/>
      <c r="N251" s="163"/>
      <c r="O251" s="163"/>
      <c r="P251" s="163"/>
      <c r="Q251" s="162"/>
      <c r="R251" s="162"/>
      <c r="S251" s="162"/>
      <c r="T251" s="163"/>
      <c r="U251" s="162"/>
      <c r="V251" s="162"/>
      <c r="W251" s="162"/>
      <c r="X251" s="162"/>
      <c r="Y251" s="162"/>
      <c r="Z251" s="162"/>
      <c r="AA251" s="162"/>
      <c r="AB251" s="162"/>
      <c r="AC251" s="162"/>
      <c r="AD251" s="162"/>
      <c r="AE251" s="162"/>
    </row>
    <row r="252" spans="1:31" s="924" customFormat="1">
      <c r="A252" s="162"/>
      <c r="B252" s="1764"/>
      <c r="C252" s="163"/>
      <c r="D252" s="163"/>
      <c r="E252" s="163"/>
      <c r="F252" s="163"/>
      <c r="G252" s="163"/>
      <c r="H252" s="163"/>
      <c r="I252" s="163"/>
      <c r="J252" s="163"/>
      <c r="K252" s="163"/>
      <c r="L252" s="163"/>
      <c r="M252" s="163"/>
      <c r="N252" s="163"/>
      <c r="O252" s="163"/>
      <c r="P252" s="163"/>
      <c r="Q252" s="162"/>
      <c r="R252" s="162"/>
      <c r="S252" s="162"/>
      <c r="T252" s="163"/>
      <c r="U252" s="162"/>
      <c r="V252" s="162"/>
      <c r="W252" s="162"/>
      <c r="X252" s="162"/>
      <c r="Y252" s="162"/>
      <c r="Z252" s="162"/>
      <c r="AA252" s="162"/>
      <c r="AB252" s="162"/>
      <c r="AC252" s="162"/>
      <c r="AD252" s="162"/>
      <c r="AE252" s="162"/>
    </row>
    <row r="253" spans="1:31" s="924" customFormat="1">
      <c r="A253" s="162"/>
      <c r="B253" s="1764"/>
      <c r="C253" s="163"/>
      <c r="D253" s="163"/>
      <c r="E253" s="163"/>
      <c r="F253" s="163"/>
      <c r="G253" s="163"/>
      <c r="H253" s="163"/>
      <c r="I253" s="163"/>
      <c r="J253" s="163"/>
      <c r="K253" s="163"/>
      <c r="L253" s="163"/>
      <c r="M253" s="163"/>
      <c r="N253" s="163"/>
      <c r="O253" s="163"/>
      <c r="P253" s="163"/>
      <c r="Q253" s="162"/>
      <c r="R253" s="162"/>
      <c r="S253" s="162"/>
      <c r="T253" s="163"/>
      <c r="U253" s="162"/>
      <c r="V253" s="162"/>
      <c r="W253" s="162"/>
      <c r="X253" s="162"/>
      <c r="Y253" s="162"/>
      <c r="Z253" s="162"/>
      <c r="AA253" s="162"/>
      <c r="AB253" s="162"/>
      <c r="AC253" s="162"/>
      <c r="AD253" s="162"/>
      <c r="AE253" s="162"/>
    </row>
    <row r="254" spans="1:31" s="924" customFormat="1">
      <c r="A254" s="162"/>
      <c r="B254" s="1764"/>
      <c r="C254" s="163"/>
      <c r="D254" s="163"/>
      <c r="E254" s="163"/>
      <c r="F254" s="163"/>
      <c r="G254" s="163"/>
      <c r="H254" s="163"/>
      <c r="I254" s="163"/>
      <c r="J254" s="163"/>
      <c r="K254" s="163"/>
      <c r="L254" s="163"/>
      <c r="M254" s="163"/>
      <c r="N254" s="163"/>
      <c r="O254" s="163"/>
      <c r="P254" s="163"/>
      <c r="Q254" s="162"/>
      <c r="R254" s="162"/>
      <c r="S254" s="162"/>
      <c r="T254" s="163"/>
      <c r="U254" s="162"/>
      <c r="V254" s="162"/>
      <c r="W254" s="162"/>
      <c r="X254" s="162"/>
      <c r="Y254" s="162"/>
      <c r="Z254" s="162"/>
      <c r="AA254" s="162"/>
      <c r="AB254" s="162"/>
      <c r="AC254" s="162"/>
      <c r="AD254" s="162"/>
      <c r="AE254" s="162"/>
    </row>
    <row r="255" spans="1:31" s="924" customFormat="1">
      <c r="A255" s="162"/>
      <c r="B255" s="1764"/>
      <c r="C255" s="163"/>
      <c r="D255" s="163"/>
      <c r="E255" s="163"/>
      <c r="F255" s="163"/>
      <c r="G255" s="163"/>
      <c r="H255" s="163"/>
      <c r="I255" s="163"/>
      <c r="J255" s="163"/>
      <c r="K255" s="163"/>
      <c r="L255" s="163"/>
      <c r="M255" s="163"/>
      <c r="N255" s="163"/>
      <c r="O255" s="163"/>
      <c r="P255" s="163"/>
      <c r="Q255" s="162"/>
      <c r="R255" s="162"/>
      <c r="S255" s="162"/>
      <c r="T255" s="163"/>
      <c r="U255" s="162"/>
      <c r="V255" s="162"/>
      <c r="W255" s="162"/>
      <c r="X255" s="162"/>
      <c r="Y255" s="162"/>
      <c r="Z255" s="162"/>
      <c r="AA255" s="162"/>
      <c r="AB255" s="162"/>
      <c r="AC255" s="162"/>
      <c r="AD255" s="162"/>
      <c r="AE255" s="162"/>
    </row>
    <row r="256" spans="1:31" s="924" customFormat="1">
      <c r="A256" s="162"/>
      <c r="B256" s="1764"/>
      <c r="C256" s="163"/>
      <c r="D256" s="163"/>
      <c r="E256" s="163"/>
      <c r="F256" s="163"/>
      <c r="G256" s="163"/>
      <c r="H256" s="163"/>
      <c r="I256" s="163"/>
      <c r="J256" s="163"/>
      <c r="K256" s="163"/>
      <c r="L256" s="163"/>
      <c r="M256" s="163"/>
      <c r="N256" s="163"/>
      <c r="O256" s="163"/>
      <c r="P256" s="163"/>
      <c r="Q256" s="162"/>
      <c r="R256" s="162"/>
      <c r="S256" s="162"/>
      <c r="T256" s="163"/>
      <c r="U256" s="162"/>
      <c r="V256" s="162"/>
      <c r="W256" s="162"/>
      <c r="X256" s="162"/>
      <c r="Y256" s="162"/>
      <c r="Z256" s="162"/>
      <c r="AA256" s="162"/>
      <c r="AB256" s="162"/>
      <c r="AC256" s="162"/>
      <c r="AD256" s="162"/>
      <c r="AE256" s="162"/>
    </row>
    <row r="257" spans="1:31" s="924" customFormat="1">
      <c r="A257" s="162"/>
      <c r="B257" s="1764"/>
      <c r="C257" s="163"/>
      <c r="D257" s="163"/>
      <c r="E257" s="163"/>
      <c r="F257" s="163"/>
      <c r="G257" s="163"/>
      <c r="H257" s="163"/>
      <c r="I257" s="163"/>
      <c r="J257" s="163"/>
      <c r="K257" s="163"/>
      <c r="L257" s="163"/>
      <c r="M257" s="163"/>
      <c r="N257" s="163"/>
      <c r="O257" s="163"/>
      <c r="P257" s="163"/>
      <c r="Q257" s="162"/>
      <c r="R257" s="162"/>
      <c r="S257" s="162"/>
      <c r="T257" s="163"/>
      <c r="U257" s="162"/>
      <c r="V257" s="162"/>
      <c r="W257" s="162"/>
      <c r="X257" s="162"/>
      <c r="Y257" s="162"/>
      <c r="Z257" s="162"/>
      <c r="AA257" s="162"/>
      <c r="AB257" s="162"/>
      <c r="AC257" s="162"/>
      <c r="AD257" s="162"/>
      <c r="AE257" s="162"/>
    </row>
    <row r="258" spans="1:31" s="924" customFormat="1">
      <c r="A258" s="162"/>
      <c r="B258" s="1764"/>
      <c r="C258" s="163"/>
      <c r="D258" s="163"/>
      <c r="E258" s="163"/>
      <c r="F258" s="163"/>
      <c r="G258" s="163"/>
      <c r="H258" s="163"/>
      <c r="I258" s="163"/>
      <c r="J258" s="163"/>
      <c r="K258" s="163"/>
      <c r="L258" s="163"/>
      <c r="M258" s="163"/>
      <c r="N258" s="163"/>
      <c r="O258" s="163"/>
      <c r="P258" s="163"/>
      <c r="Q258" s="162"/>
      <c r="R258" s="162"/>
      <c r="S258" s="162"/>
      <c r="T258" s="163"/>
      <c r="U258" s="162"/>
      <c r="V258" s="162"/>
      <c r="W258" s="162"/>
      <c r="X258" s="162"/>
      <c r="Y258" s="162"/>
      <c r="Z258" s="162"/>
      <c r="AA258" s="162"/>
      <c r="AB258" s="162"/>
      <c r="AC258" s="162"/>
      <c r="AD258" s="162"/>
      <c r="AE258" s="162"/>
    </row>
    <row r="259" spans="1:31" s="924" customFormat="1">
      <c r="A259" s="162"/>
      <c r="B259" s="1764"/>
      <c r="C259" s="163"/>
      <c r="D259" s="163"/>
      <c r="E259" s="163"/>
      <c r="F259" s="163"/>
      <c r="G259" s="163"/>
      <c r="H259" s="163"/>
      <c r="I259" s="163"/>
      <c r="J259" s="163"/>
      <c r="K259" s="163"/>
      <c r="L259" s="163"/>
      <c r="M259" s="163"/>
      <c r="N259" s="163"/>
      <c r="O259" s="163"/>
      <c r="P259" s="163"/>
      <c r="Q259" s="162"/>
      <c r="R259" s="162"/>
      <c r="S259" s="162"/>
      <c r="T259" s="163"/>
      <c r="U259" s="162"/>
      <c r="V259" s="162"/>
      <c r="W259" s="162"/>
      <c r="X259" s="162"/>
      <c r="Y259" s="162"/>
      <c r="Z259" s="162"/>
      <c r="AA259" s="162"/>
      <c r="AB259" s="162"/>
      <c r="AC259" s="162"/>
      <c r="AD259" s="162"/>
      <c r="AE259" s="162"/>
    </row>
    <row r="260" spans="1:31" s="924" customFormat="1">
      <c r="A260" s="162"/>
      <c r="B260" s="1764"/>
      <c r="C260" s="163"/>
      <c r="D260" s="163"/>
      <c r="E260" s="163"/>
      <c r="F260" s="163"/>
      <c r="G260" s="163"/>
      <c r="H260" s="163"/>
      <c r="I260" s="163"/>
      <c r="J260" s="163"/>
      <c r="K260" s="163"/>
      <c r="L260" s="163"/>
      <c r="M260" s="163"/>
      <c r="N260" s="163"/>
      <c r="O260" s="163"/>
      <c r="P260" s="163"/>
      <c r="Q260" s="162"/>
      <c r="R260" s="162"/>
      <c r="S260" s="162"/>
      <c r="T260" s="163"/>
      <c r="U260" s="162"/>
      <c r="V260" s="162"/>
      <c r="W260" s="162"/>
      <c r="X260" s="162"/>
      <c r="Y260" s="162"/>
      <c r="Z260" s="162"/>
      <c r="AA260" s="162"/>
      <c r="AB260" s="162"/>
      <c r="AC260" s="162"/>
      <c r="AD260" s="162"/>
      <c r="AE260" s="162"/>
    </row>
    <row r="261" spans="1:31" s="924" customFormat="1">
      <c r="A261" s="162"/>
      <c r="B261" s="1764"/>
      <c r="C261" s="163"/>
      <c r="D261" s="163"/>
      <c r="E261" s="163"/>
      <c r="F261" s="163"/>
      <c r="G261" s="163"/>
      <c r="H261" s="163"/>
      <c r="I261" s="163"/>
      <c r="J261" s="163"/>
      <c r="K261" s="163"/>
      <c r="L261" s="163"/>
      <c r="M261" s="163"/>
      <c r="N261" s="163"/>
      <c r="O261" s="163"/>
      <c r="P261" s="163"/>
      <c r="Q261" s="162"/>
      <c r="R261" s="162"/>
      <c r="S261" s="162"/>
      <c r="T261" s="163"/>
      <c r="U261" s="162"/>
      <c r="V261" s="162"/>
      <c r="W261" s="162"/>
      <c r="X261" s="162"/>
      <c r="Y261" s="162"/>
      <c r="Z261" s="162"/>
      <c r="AA261" s="162"/>
      <c r="AB261" s="162"/>
      <c r="AC261" s="162"/>
      <c r="AD261" s="162"/>
      <c r="AE261" s="162"/>
    </row>
    <row r="262" spans="1:31" s="924" customFormat="1">
      <c r="A262" s="162"/>
      <c r="B262" s="1764"/>
      <c r="C262" s="163"/>
      <c r="D262" s="163"/>
      <c r="E262" s="163"/>
      <c r="F262" s="163"/>
      <c r="G262" s="163"/>
      <c r="H262" s="163"/>
      <c r="I262" s="163"/>
      <c r="J262" s="163"/>
      <c r="K262" s="163"/>
      <c r="L262" s="163"/>
      <c r="M262" s="163"/>
      <c r="N262" s="163"/>
      <c r="O262" s="163"/>
      <c r="P262" s="163"/>
      <c r="Q262" s="162"/>
      <c r="R262" s="162"/>
      <c r="S262" s="162"/>
      <c r="T262" s="163"/>
      <c r="U262" s="162"/>
      <c r="V262" s="162"/>
      <c r="W262" s="162"/>
      <c r="X262" s="162"/>
      <c r="Y262" s="162"/>
      <c r="Z262" s="162"/>
      <c r="AA262" s="162"/>
      <c r="AB262" s="162"/>
      <c r="AC262" s="162"/>
      <c r="AD262" s="162"/>
      <c r="AE262" s="162"/>
    </row>
    <row r="263" spans="1:31" s="924" customFormat="1">
      <c r="A263" s="162"/>
      <c r="B263" s="1764"/>
      <c r="C263" s="163"/>
      <c r="D263" s="163"/>
      <c r="E263" s="163"/>
      <c r="F263" s="163"/>
      <c r="G263" s="163"/>
      <c r="H263" s="163"/>
      <c r="I263" s="163"/>
      <c r="J263" s="163"/>
      <c r="K263" s="163"/>
      <c r="L263" s="163"/>
      <c r="M263" s="163"/>
      <c r="N263" s="163"/>
      <c r="O263" s="163"/>
      <c r="P263" s="163"/>
      <c r="Q263" s="162"/>
      <c r="R263" s="162"/>
      <c r="S263" s="162"/>
      <c r="T263" s="163"/>
      <c r="U263" s="162"/>
      <c r="V263" s="162"/>
      <c r="W263" s="162"/>
      <c r="X263" s="162"/>
      <c r="Y263" s="162"/>
      <c r="Z263" s="162"/>
      <c r="AA263" s="162"/>
      <c r="AB263" s="162"/>
      <c r="AC263" s="162"/>
      <c r="AD263" s="162"/>
      <c r="AE263" s="162"/>
    </row>
    <row r="264" spans="1:31" s="924" customFormat="1">
      <c r="A264" s="162"/>
      <c r="B264" s="1764"/>
      <c r="C264" s="163"/>
      <c r="D264" s="163"/>
      <c r="E264" s="163"/>
      <c r="F264" s="163"/>
      <c r="G264" s="163"/>
      <c r="H264" s="163"/>
      <c r="I264" s="163"/>
      <c r="J264" s="163"/>
      <c r="K264" s="163"/>
      <c r="L264" s="163"/>
      <c r="M264" s="163"/>
      <c r="N264" s="163"/>
      <c r="O264" s="163"/>
      <c r="P264" s="163"/>
      <c r="Q264" s="162"/>
      <c r="R264" s="162"/>
      <c r="S264" s="162"/>
      <c r="T264" s="163"/>
      <c r="U264" s="162"/>
      <c r="V264" s="162"/>
      <c r="W264" s="162"/>
      <c r="X264" s="162"/>
      <c r="Y264" s="162"/>
      <c r="Z264" s="162"/>
      <c r="AA264" s="162"/>
      <c r="AB264" s="162"/>
      <c r="AC264" s="162"/>
      <c r="AD264" s="162"/>
      <c r="AE264" s="162"/>
    </row>
    <row r="265" spans="1:31" s="924" customFormat="1">
      <c r="A265" s="162"/>
      <c r="B265" s="1764"/>
      <c r="C265" s="163"/>
      <c r="D265" s="163"/>
      <c r="E265" s="163"/>
      <c r="F265" s="163"/>
      <c r="G265" s="163"/>
      <c r="H265" s="163"/>
      <c r="I265" s="163"/>
      <c r="J265" s="163"/>
      <c r="K265" s="163"/>
      <c r="L265" s="163"/>
      <c r="M265" s="163"/>
      <c r="N265" s="163"/>
      <c r="O265" s="163"/>
      <c r="P265" s="163"/>
      <c r="Q265" s="162"/>
      <c r="R265" s="162"/>
      <c r="S265" s="162"/>
      <c r="T265" s="163"/>
      <c r="U265" s="162"/>
      <c r="V265" s="162"/>
      <c r="W265" s="162"/>
      <c r="X265" s="162"/>
      <c r="Y265" s="162"/>
      <c r="Z265" s="162"/>
      <c r="AA265" s="162"/>
      <c r="AB265" s="162"/>
      <c r="AC265" s="162"/>
      <c r="AD265" s="162"/>
      <c r="AE265" s="162"/>
    </row>
    <row r="266" spans="1:31" s="924" customFormat="1">
      <c r="A266" s="162"/>
      <c r="B266" s="1764"/>
      <c r="C266" s="163"/>
      <c r="D266" s="163"/>
      <c r="E266" s="163"/>
      <c r="F266" s="163"/>
      <c r="G266" s="163"/>
      <c r="H266" s="163"/>
      <c r="I266" s="163"/>
      <c r="J266" s="163"/>
      <c r="K266" s="163"/>
      <c r="L266" s="163"/>
      <c r="M266" s="163"/>
      <c r="N266" s="163"/>
      <c r="O266" s="163"/>
      <c r="P266" s="163"/>
      <c r="Q266" s="162"/>
      <c r="R266" s="162"/>
      <c r="S266" s="162"/>
      <c r="T266" s="163"/>
      <c r="U266" s="162"/>
      <c r="V266" s="162"/>
      <c r="W266" s="162"/>
      <c r="X266" s="162"/>
      <c r="Y266" s="162"/>
      <c r="Z266" s="162"/>
      <c r="AA266" s="162"/>
      <c r="AB266" s="162"/>
      <c r="AC266" s="162"/>
      <c r="AD266" s="162"/>
      <c r="AE266" s="162"/>
    </row>
    <row r="267" spans="1:31" s="924" customFormat="1">
      <c r="A267" s="162"/>
      <c r="B267" s="1764"/>
      <c r="C267" s="163"/>
      <c r="D267" s="163"/>
      <c r="E267" s="163"/>
      <c r="F267" s="163"/>
      <c r="G267" s="163"/>
      <c r="H267" s="163"/>
      <c r="I267" s="163"/>
      <c r="J267" s="163"/>
      <c r="K267" s="163"/>
      <c r="L267" s="163"/>
      <c r="M267" s="163"/>
      <c r="N267" s="163"/>
      <c r="O267" s="163"/>
      <c r="P267" s="163"/>
      <c r="Q267" s="162"/>
      <c r="R267" s="162"/>
      <c r="S267" s="162"/>
      <c r="T267" s="163"/>
      <c r="U267" s="162"/>
      <c r="V267" s="162"/>
      <c r="W267" s="162"/>
      <c r="X267" s="162"/>
      <c r="Y267" s="162"/>
      <c r="Z267" s="162"/>
      <c r="AA267" s="162"/>
      <c r="AB267" s="162"/>
      <c r="AC267" s="162"/>
      <c r="AD267" s="162"/>
      <c r="AE267" s="162"/>
    </row>
    <row r="268" spans="1:31" s="924" customFormat="1">
      <c r="A268" s="162"/>
      <c r="B268" s="1764"/>
      <c r="C268" s="163"/>
      <c r="D268" s="163"/>
      <c r="E268" s="163"/>
      <c r="F268" s="163"/>
      <c r="G268" s="163"/>
      <c r="H268" s="163"/>
      <c r="I268" s="163"/>
      <c r="J268" s="163"/>
      <c r="K268" s="163"/>
      <c r="L268" s="163"/>
      <c r="M268" s="163"/>
      <c r="N268" s="163"/>
      <c r="O268" s="163"/>
      <c r="P268" s="163"/>
      <c r="Q268" s="162"/>
      <c r="R268" s="162"/>
      <c r="S268" s="162"/>
      <c r="T268" s="163"/>
      <c r="U268" s="162"/>
      <c r="V268" s="162"/>
      <c r="W268" s="162"/>
      <c r="X268" s="162"/>
      <c r="Y268" s="162"/>
      <c r="Z268" s="162"/>
      <c r="AA268" s="162"/>
      <c r="AB268" s="162"/>
      <c r="AC268" s="162"/>
      <c r="AD268" s="162"/>
      <c r="AE268" s="162"/>
    </row>
    <row r="269" spans="1:31" s="924" customFormat="1">
      <c r="A269" s="162"/>
      <c r="B269" s="1764"/>
      <c r="C269" s="163"/>
      <c r="D269" s="163"/>
      <c r="E269" s="163"/>
      <c r="F269" s="163"/>
      <c r="G269" s="163"/>
      <c r="H269" s="163"/>
      <c r="I269" s="163"/>
      <c r="J269" s="163"/>
      <c r="K269" s="163"/>
      <c r="L269" s="163"/>
      <c r="M269" s="163"/>
      <c r="N269" s="163"/>
      <c r="O269" s="163"/>
      <c r="P269" s="163"/>
      <c r="Q269" s="162"/>
      <c r="R269" s="162"/>
      <c r="S269" s="162"/>
      <c r="T269" s="163"/>
      <c r="U269" s="162"/>
      <c r="V269" s="162"/>
      <c r="W269" s="162"/>
      <c r="X269" s="162"/>
      <c r="Y269" s="162"/>
      <c r="Z269" s="162"/>
      <c r="AA269" s="162"/>
      <c r="AB269" s="162"/>
      <c r="AC269" s="162"/>
      <c r="AD269" s="162"/>
      <c r="AE269" s="162"/>
    </row>
    <row r="270" spans="1:31" s="924" customFormat="1">
      <c r="A270" s="162"/>
      <c r="B270" s="1764"/>
      <c r="C270" s="163"/>
      <c r="D270" s="163"/>
      <c r="E270" s="163"/>
      <c r="F270" s="163"/>
      <c r="G270" s="163"/>
      <c r="H270" s="163"/>
      <c r="I270" s="163"/>
      <c r="J270" s="163"/>
      <c r="K270" s="163"/>
      <c r="L270" s="163"/>
      <c r="M270" s="163"/>
      <c r="N270" s="163"/>
      <c r="O270" s="163"/>
      <c r="P270" s="163"/>
      <c r="Q270" s="162"/>
      <c r="R270" s="162"/>
      <c r="S270" s="162"/>
      <c r="T270" s="163"/>
      <c r="U270" s="162"/>
      <c r="V270" s="162"/>
      <c r="W270" s="162"/>
      <c r="X270" s="162"/>
      <c r="Y270" s="162"/>
      <c r="Z270" s="162"/>
      <c r="AA270" s="162"/>
      <c r="AB270" s="162"/>
      <c r="AC270" s="162"/>
      <c r="AD270" s="162"/>
      <c r="AE270" s="162"/>
    </row>
    <row r="271" spans="1:31" s="924" customFormat="1">
      <c r="A271" s="162"/>
      <c r="B271" s="1764"/>
      <c r="C271" s="163"/>
      <c r="D271" s="163"/>
      <c r="E271" s="163"/>
      <c r="F271" s="163"/>
      <c r="G271" s="163"/>
      <c r="H271" s="163"/>
      <c r="I271" s="163"/>
      <c r="J271" s="163"/>
      <c r="K271" s="163"/>
      <c r="L271" s="163"/>
      <c r="M271" s="163"/>
      <c r="N271" s="163"/>
      <c r="O271" s="163"/>
      <c r="P271" s="163"/>
      <c r="Q271" s="162"/>
      <c r="R271" s="162"/>
      <c r="S271" s="162"/>
      <c r="T271" s="163"/>
      <c r="U271" s="162"/>
      <c r="V271" s="162"/>
      <c r="W271" s="162"/>
      <c r="X271" s="162"/>
      <c r="Y271" s="162"/>
      <c r="Z271" s="162"/>
      <c r="AA271" s="162"/>
      <c r="AB271" s="162"/>
      <c r="AC271" s="162"/>
      <c r="AD271" s="162"/>
      <c r="AE271" s="162"/>
    </row>
    <row r="272" spans="1:31" s="924" customFormat="1">
      <c r="A272" s="162"/>
      <c r="B272" s="1764"/>
      <c r="C272" s="163"/>
      <c r="D272" s="163"/>
      <c r="E272" s="163"/>
      <c r="F272" s="163"/>
      <c r="G272" s="163"/>
      <c r="H272" s="163"/>
      <c r="I272" s="163"/>
      <c r="J272" s="163"/>
      <c r="K272" s="163"/>
      <c r="L272" s="163"/>
      <c r="M272" s="163"/>
      <c r="N272" s="163"/>
      <c r="O272" s="163"/>
      <c r="P272" s="163"/>
      <c r="Q272" s="162"/>
      <c r="R272" s="162"/>
      <c r="S272" s="162"/>
      <c r="T272" s="163"/>
      <c r="U272" s="162"/>
      <c r="V272" s="162"/>
      <c r="W272" s="162"/>
      <c r="X272" s="162"/>
      <c r="Y272" s="162"/>
      <c r="Z272" s="162"/>
      <c r="AA272" s="162"/>
      <c r="AB272" s="162"/>
      <c r="AC272" s="162"/>
      <c r="AD272" s="162"/>
      <c r="AE272" s="162"/>
    </row>
    <row r="273" spans="1:31" s="924" customFormat="1">
      <c r="A273" s="162"/>
      <c r="B273" s="1764"/>
      <c r="C273" s="163"/>
      <c r="D273" s="163"/>
      <c r="E273" s="163"/>
      <c r="F273" s="163"/>
      <c r="G273" s="163"/>
      <c r="H273" s="163"/>
      <c r="I273" s="163"/>
      <c r="J273" s="163"/>
      <c r="K273" s="163"/>
      <c r="L273" s="163"/>
      <c r="M273" s="163"/>
      <c r="N273" s="163"/>
      <c r="O273" s="163"/>
      <c r="P273" s="163"/>
      <c r="Q273" s="162"/>
      <c r="R273" s="162"/>
      <c r="S273" s="162"/>
      <c r="T273" s="163"/>
      <c r="U273" s="162"/>
      <c r="V273" s="162"/>
      <c r="W273" s="162"/>
      <c r="X273" s="162"/>
      <c r="Y273" s="162"/>
      <c r="Z273" s="162"/>
      <c r="AA273" s="162"/>
      <c r="AB273" s="162"/>
      <c r="AC273" s="162"/>
      <c r="AD273" s="162"/>
      <c r="AE273" s="162"/>
    </row>
    <row r="274" spans="1:31" s="924" customFormat="1">
      <c r="A274" s="162"/>
      <c r="B274" s="1764"/>
      <c r="C274" s="163"/>
      <c r="D274" s="163"/>
      <c r="E274" s="163"/>
      <c r="F274" s="163"/>
      <c r="G274" s="163"/>
      <c r="H274" s="163"/>
      <c r="I274" s="163"/>
      <c r="J274" s="163"/>
      <c r="K274" s="163"/>
      <c r="L274" s="163"/>
      <c r="M274" s="163"/>
      <c r="N274" s="163"/>
      <c r="O274" s="163"/>
      <c r="P274" s="163"/>
      <c r="Q274" s="162"/>
      <c r="R274" s="162"/>
      <c r="S274" s="162"/>
      <c r="T274" s="163"/>
      <c r="U274" s="162"/>
      <c r="V274" s="162"/>
      <c r="W274" s="162"/>
      <c r="X274" s="162"/>
      <c r="Y274" s="162"/>
      <c r="Z274" s="162"/>
      <c r="AA274" s="162"/>
      <c r="AB274" s="162"/>
      <c r="AC274" s="162"/>
      <c r="AD274" s="162"/>
      <c r="AE274" s="162"/>
    </row>
    <row r="275" spans="1:31" s="924" customFormat="1">
      <c r="A275" s="162"/>
      <c r="B275" s="1764"/>
      <c r="C275" s="163"/>
      <c r="D275" s="163"/>
      <c r="E275" s="163"/>
      <c r="F275" s="163"/>
      <c r="G275" s="163"/>
      <c r="H275" s="163"/>
      <c r="I275" s="163"/>
      <c r="J275" s="163"/>
      <c r="K275" s="163"/>
      <c r="L275" s="163"/>
      <c r="M275" s="163"/>
      <c r="N275" s="163"/>
      <c r="O275" s="163"/>
      <c r="P275" s="163"/>
      <c r="Q275" s="162"/>
      <c r="R275" s="162"/>
      <c r="S275" s="162"/>
      <c r="T275" s="163"/>
      <c r="U275" s="162"/>
      <c r="V275" s="162"/>
      <c r="W275" s="162"/>
      <c r="X275" s="162"/>
      <c r="Y275" s="162"/>
      <c r="Z275" s="162"/>
      <c r="AA275" s="162"/>
      <c r="AB275" s="162"/>
      <c r="AC275" s="162"/>
      <c r="AD275" s="162"/>
      <c r="AE275" s="162"/>
    </row>
    <row r="276" spans="1:31" s="924" customFormat="1">
      <c r="A276" s="162"/>
      <c r="B276" s="1764"/>
      <c r="C276" s="163"/>
      <c r="D276" s="163"/>
      <c r="E276" s="163"/>
      <c r="F276" s="163"/>
      <c r="G276" s="163"/>
      <c r="H276" s="163"/>
      <c r="I276" s="163"/>
      <c r="J276" s="163"/>
      <c r="K276" s="163"/>
      <c r="L276" s="163"/>
      <c r="M276" s="163"/>
      <c r="N276" s="163"/>
      <c r="O276" s="163"/>
      <c r="P276" s="163"/>
      <c r="Q276" s="162"/>
      <c r="R276" s="162"/>
      <c r="S276" s="162"/>
      <c r="T276" s="163"/>
      <c r="U276" s="162"/>
      <c r="V276" s="162"/>
      <c r="W276" s="162"/>
      <c r="X276" s="162"/>
      <c r="Y276" s="162"/>
      <c r="Z276" s="162"/>
      <c r="AA276" s="162"/>
      <c r="AB276" s="162"/>
      <c r="AC276" s="162"/>
      <c r="AD276" s="162"/>
      <c r="AE276" s="162"/>
    </row>
    <row r="277" spans="1:31" s="924" customFormat="1">
      <c r="A277" s="162"/>
      <c r="B277" s="1764"/>
      <c r="C277" s="163"/>
      <c r="D277" s="163"/>
      <c r="E277" s="163"/>
      <c r="F277" s="163"/>
      <c r="G277" s="163"/>
      <c r="H277" s="163"/>
      <c r="I277" s="163"/>
      <c r="J277" s="163"/>
      <c r="K277" s="163"/>
      <c r="L277" s="163"/>
      <c r="M277" s="163"/>
      <c r="N277" s="163"/>
      <c r="O277" s="163"/>
      <c r="P277" s="163"/>
      <c r="Q277" s="162"/>
      <c r="R277" s="162"/>
      <c r="S277" s="162"/>
      <c r="T277" s="163"/>
      <c r="U277" s="162"/>
      <c r="V277" s="162"/>
      <c r="W277" s="162"/>
      <c r="X277" s="162"/>
      <c r="Y277" s="162"/>
      <c r="Z277" s="162"/>
      <c r="AA277" s="162"/>
      <c r="AB277" s="162"/>
      <c r="AC277" s="162"/>
      <c r="AD277" s="162"/>
      <c r="AE277" s="162"/>
    </row>
    <row r="278" spans="1:31" s="924" customFormat="1">
      <c r="A278" s="162"/>
      <c r="B278" s="1764"/>
      <c r="C278" s="163"/>
      <c r="D278" s="163"/>
      <c r="E278" s="163"/>
      <c r="F278" s="163"/>
      <c r="G278" s="163"/>
      <c r="H278" s="163"/>
      <c r="I278" s="163"/>
      <c r="J278" s="163"/>
      <c r="K278" s="163"/>
      <c r="L278" s="163"/>
      <c r="M278" s="163"/>
      <c r="N278" s="163"/>
      <c r="O278" s="163"/>
      <c r="P278" s="163"/>
      <c r="Q278" s="162"/>
      <c r="R278" s="162"/>
      <c r="S278" s="162"/>
      <c r="T278" s="163"/>
      <c r="U278" s="162"/>
      <c r="V278" s="162"/>
      <c r="W278" s="162"/>
      <c r="X278" s="162"/>
      <c r="Y278" s="162"/>
      <c r="Z278" s="162"/>
      <c r="AA278" s="162"/>
      <c r="AB278" s="162"/>
      <c r="AC278" s="162"/>
      <c r="AD278" s="162"/>
      <c r="AE278" s="162"/>
    </row>
    <row r="279" spans="1:31" s="924" customFormat="1">
      <c r="A279" s="162"/>
      <c r="B279" s="1764"/>
      <c r="C279" s="163"/>
      <c r="D279" s="163"/>
      <c r="E279" s="163"/>
      <c r="F279" s="163"/>
      <c r="G279" s="163"/>
      <c r="H279" s="163"/>
      <c r="I279" s="163"/>
      <c r="J279" s="163"/>
      <c r="K279" s="163"/>
      <c r="L279" s="163"/>
      <c r="M279" s="163"/>
      <c r="N279" s="163"/>
      <c r="O279" s="163"/>
      <c r="P279" s="163"/>
      <c r="Q279" s="162"/>
      <c r="R279" s="162"/>
      <c r="S279" s="162"/>
      <c r="T279" s="163"/>
      <c r="U279" s="162"/>
      <c r="V279" s="162"/>
      <c r="W279" s="162"/>
      <c r="X279" s="162"/>
      <c r="Y279" s="162"/>
      <c r="Z279" s="162"/>
      <c r="AA279" s="162"/>
      <c r="AB279" s="162"/>
      <c r="AC279" s="162"/>
      <c r="AD279" s="162"/>
      <c r="AE279" s="162"/>
    </row>
    <row r="280" spans="1:31" s="924" customFormat="1">
      <c r="A280" s="162"/>
      <c r="B280" s="1764"/>
      <c r="C280" s="163"/>
      <c r="D280" s="163"/>
      <c r="E280" s="163"/>
      <c r="F280" s="163"/>
      <c r="G280" s="163"/>
      <c r="H280" s="163"/>
      <c r="I280" s="163"/>
      <c r="J280" s="163"/>
      <c r="K280" s="163"/>
      <c r="L280" s="163"/>
      <c r="M280" s="163"/>
      <c r="N280" s="163"/>
      <c r="O280" s="163"/>
      <c r="P280" s="163"/>
      <c r="Q280" s="162"/>
      <c r="R280" s="162"/>
      <c r="S280" s="162"/>
      <c r="T280" s="163"/>
      <c r="U280" s="162"/>
      <c r="V280" s="162"/>
      <c r="W280" s="162"/>
      <c r="X280" s="162"/>
      <c r="Y280" s="162"/>
      <c r="Z280" s="162"/>
      <c r="AA280" s="162"/>
      <c r="AB280" s="162"/>
      <c r="AC280" s="162"/>
      <c r="AD280" s="162"/>
      <c r="AE280" s="162"/>
    </row>
    <row r="281" spans="1:31" s="924" customFormat="1">
      <c r="A281" s="162"/>
      <c r="B281" s="1764"/>
      <c r="C281" s="163"/>
      <c r="D281" s="163"/>
      <c r="E281" s="163"/>
      <c r="F281" s="163"/>
      <c r="G281" s="163"/>
      <c r="H281" s="163"/>
      <c r="I281" s="163"/>
      <c r="J281" s="163"/>
      <c r="K281" s="163"/>
      <c r="L281" s="163"/>
      <c r="M281" s="163"/>
      <c r="N281" s="163"/>
      <c r="O281" s="163"/>
      <c r="P281" s="163"/>
      <c r="Q281" s="162"/>
      <c r="R281" s="162"/>
      <c r="S281" s="162"/>
      <c r="T281" s="163"/>
      <c r="U281" s="162"/>
      <c r="V281" s="162"/>
      <c r="W281" s="162"/>
      <c r="X281" s="162"/>
      <c r="Y281" s="162"/>
      <c r="Z281" s="162"/>
      <c r="AA281" s="162"/>
      <c r="AB281" s="162"/>
      <c r="AC281" s="162"/>
      <c r="AD281" s="162"/>
      <c r="AE281" s="162"/>
    </row>
    <row r="282" spans="1:31" s="924" customFormat="1">
      <c r="A282" s="162"/>
      <c r="B282" s="1764"/>
      <c r="C282" s="163"/>
      <c r="D282" s="163"/>
      <c r="E282" s="163"/>
      <c r="F282" s="163"/>
      <c r="G282" s="163"/>
      <c r="H282" s="163"/>
      <c r="I282" s="163"/>
      <c r="J282" s="163"/>
      <c r="K282" s="163"/>
      <c r="L282" s="163"/>
      <c r="M282" s="163"/>
      <c r="N282" s="163"/>
      <c r="O282" s="163"/>
      <c r="P282" s="163"/>
      <c r="Q282" s="162"/>
      <c r="R282" s="162"/>
      <c r="S282" s="162"/>
      <c r="T282" s="163"/>
      <c r="U282" s="162"/>
      <c r="V282" s="162"/>
      <c r="W282" s="162"/>
      <c r="X282" s="162"/>
      <c r="Y282" s="162"/>
      <c r="Z282" s="162"/>
      <c r="AA282" s="162"/>
      <c r="AB282" s="162"/>
      <c r="AC282" s="162"/>
      <c r="AD282" s="162"/>
      <c r="AE282" s="162"/>
    </row>
    <row r="283" spans="1:31" s="924" customFormat="1">
      <c r="A283" s="162"/>
      <c r="B283" s="1764"/>
      <c r="C283" s="163"/>
      <c r="D283" s="163"/>
      <c r="E283" s="163"/>
      <c r="F283" s="163"/>
      <c r="G283" s="163"/>
      <c r="H283" s="163"/>
      <c r="I283" s="163"/>
      <c r="J283" s="163"/>
      <c r="K283" s="163"/>
      <c r="L283" s="163"/>
      <c r="M283" s="163"/>
      <c r="N283" s="163"/>
      <c r="O283" s="163"/>
      <c r="P283" s="163"/>
      <c r="Q283" s="162"/>
      <c r="R283" s="162"/>
      <c r="S283" s="162"/>
      <c r="T283" s="163"/>
      <c r="U283" s="162"/>
      <c r="V283" s="162"/>
      <c r="W283" s="162"/>
      <c r="X283" s="162"/>
      <c r="Y283" s="162"/>
      <c r="Z283" s="162"/>
      <c r="AA283" s="162"/>
      <c r="AB283" s="162"/>
      <c r="AC283" s="162"/>
      <c r="AD283" s="162"/>
      <c r="AE283" s="162"/>
    </row>
    <row r="284" spans="1:31" s="924" customFormat="1">
      <c r="A284" s="162"/>
      <c r="B284" s="1764"/>
      <c r="C284" s="163"/>
      <c r="D284" s="163"/>
      <c r="E284" s="163"/>
      <c r="F284" s="163"/>
      <c r="G284" s="163"/>
      <c r="H284" s="163"/>
      <c r="I284" s="163"/>
      <c r="J284" s="163"/>
      <c r="K284" s="163"/>
      <c r="L284" s="163"/>
      <c r="M284" s="163"/>
      <c r="N284" s="163"/>
      <c r="O284" s="163"/>
      <c r="P284" s="163"/>
      <c r="Q284" s="162"/>
      <c r="R284" s="162"/>
      <c r="S284" s="162"/>
      <c r="T284" s="163"/>
      <c r="U284" s="162"/>
      <c r="V284" s="162"/>
      <c r="W284" s="162"/>
      <c r="X284" s="162"/>
      <c r="Y284" s="162"/>
      <c r="Z284" s="162"/>
      <c r="AA284" s="162"/>
      <c r="AB284" s="162"/>
      <c r="AC284" s="162"/>
      <c r="AD284" s="162"/>
      <c r="AE284" s="162"/>
    </row>
    <row r="285" spans="1:31" s="924" customFormat="1">
      <c r="A285" s="162"/>
      <c r="B285" s="1764"/>
      <c r="C285" s="163"/>
      <c r="D285" s="163"/>
      <c r="E285" s="163"/>
      <c r="F285" s="163"/>
      <c r="G285" s="163"/>
      <c r="H285" s="163"/>
      <c r="I285" s="163"/>
      <c r="J285" s="163"/>
      <c r="K285" s="163"/>
      <c r="L285" s="163"/>
      <c r="M285" s="163"/>
      <c r="N285" s="163"/>
      <c r="O285" s="163"/>
      <c r="P285" s="163"/>
      <c r="Q285" s="162"/>
      <c r="R285" s="162"/>
      <c r="S285" s="162"/>
      <c r="T285" s="163"/>
      <c r="U285" s="162"/>
      <c r="V285" s="162"/>
      <c r="W285" s="162"/>
      <c r="X285" s="162"/>
      <c r="Y285" s="162"/>
      <c r="Z285" s="162"/>
      <c r="AA285" s="162"/>
      <c r="AB285" s="162"/>
      <c r="AC285" s="162"/>
      <c r="AD285" s="162"/>
      <c r="AE285" s="162"/>
    </row>
    <row r="286" spans="1:31" s="924" customFormat="1">
      <c r="A286" s="162"/>
      <c r="B286" s="1764"/>
      <c r="C286" s="163"/>
      <c r="D286" s="163"/>
      <c r="E286" s="163"/>
      <c r="F286" s="163"/>
      <c r="G286" s="163"/>
      <c r="H286" s="163"/>
      <c r="I286" s="163"/>
      <c r="J286" s="163"/>
      <c r="K286" s="163"/>
      <c r="L286" s="163"/>
      <c r="M286" s="163"/>
      <c r="N286" s="163"/>
      <c r="O286" s="163"/>
      <c r="P286" s="163"/>
      <c r="Q286" s="162"/>
      <c r="R286" s="162"/>
      <c r="S286" s="162"/>
      <c r="T286" s="163"/>
      <c r="U286" s="162"/>
      <c r="V286" s="162"/>
      <c r="W286" s="162"/>
      <c r="X286" s="162"/>
      <c r="Y286" s="162"/>
      <c r="Z286" s="162"/>
      <c r="AA286" s="162"/>
      <c r="AB286" s="162"/>
      <c r="AC286" s="162"/>
      <c r="AD286" s="162"/>
      <c r="AE286" s="162"/>
    </row>
    <row r="287" spans="1:31" s="924" customFormat="1">
      <c r="A287" s="162"/>
      <c r="B287" s="1764"/>
      <c r="C287" s="163"/>
      <c r="D287" s="163"/>
      <c r="E287" s="163"/>
      <c r="F287" s="163"/>
      <c r="G287" s="163"/>
      <c r="H287" s="163"/>
      <c r="I287" s="163"/>
      <c r="J287" s="163"/>
      <c r="K287" s="163"/>
      <c r="L287" s="163"/>
      <c r="M287" s="163"/>
      <c r="N287" s="163"/>
      <c r="O287" s="163"/>
      <c r="P287" s="163"/>
      <c r="Q287" s="162"/>
      <c r="R287" s="162"/>
      <c r="S287" s="162"/>
      <c r="T287" s="163"/>
      <c r="U287" s="162"/>
      <c r="V287" s="162"/>
      <c r="W287" s="162"/>
      <c r="X287" s="162"/>
      <c r="Y287" s="162"/>
      <c r="Z287" s="162"/>
      <c r="AA287" s="162"/>
      <c r="AB287" s="162"/>
      <c r="AC287" s="162"/>
      <c r="AD287" s="162"/>
      <c r="AE287" s="162"/>
    </row>
    <row r="288" spans="1:31" s="924" customFormat="1">
      <c r="A288" s="162"/>
      <c r="B288" s="1764"/>
      <c r="C288" s="163"/>
      <c r="D288" s="163"/>
      <c r="E288" s="163"/>
      <c r="F288" s="163"/>
      <c r="G288" s="163"/>
      <c r="H288" s="163"/>
      <c r="I288" s="163"/>
      <c r="J288" s="163"/>
      <c r="K288" s="163"/>
      <c r="L288" s="163"/>
      <c r="M288" s="163"/>
      <c r="N288" s="163"/>
      <c r="O288" s="163"/>
      <c r="P288" s="163"/>
      <c r="Q288" s="162"/>
      <c r="R288" s="162"/>
      <c r="S288" s="162"/>
      <c r="T288" s="163"/>
      <c r="U288" s="162"/>
      <c r="V288" s="162"/>
      <c r="W288" s="162"/>
      <c r="X288" s="162"/>
      <c r="Y288" s="162"/>
      <c r="Z288" s="162"/>
      <c r="AA288" s="162"/>
      <c r="AB288" s="162"/>
      <c r="AC288" s="162"/>
      <c r="AD288" s="162"/>
      <c r="AE288" s="162"/>
    </row>
    <row r="289" spans="1:31" s="924" customFormat="1">
      <c r="A289" s="162"/>
      <c r="B289" s="1764"/>
      <c r="C289" s="163"/>
      <c r="D289" s="163"/>
      <c r="E289" s="163"/>
      <c r="F289" s="163"/>
      <c r="G289" s="163"/>
      <c r="H289" s="163"/>
      <c r="I289" s="163"/>
      <c r="J289" s="163"/>
      <c r="K289" s="163"/>
      <c r="L289" s="163"/>
      <c r="M289" s="163"/>
      <c r="N289" s="163"/>
      <c r="O289" s="163"/>
      <c r="P289" s="163"/>
      <c r="Q289" s="162"/>
      <c r="R289" s="162"/>
      <c r="S289" s="162"/>
      <c r="T289" s="163"/>
      <c r="U289" s="162"/>
      <c r="V289" s="162"/>
      <c r="W289" s="162"/>
      <c r="X289" s="162"/>
      <c r="Y289" s="162"/>
      <c r="Z289" s="162"/>
      <c r="AA289" s="162"/>
      <c r="AB289" s="162"/>
      <c r="AC289" s="162"/>
      <c r="AD289" s="162"/>
      <c r="AE289" s="162"/>
    </row>
    <row r="290" spans="1:31" s="924" customFormat="1">
      <c r="A290" s="162"/>
      <c r="B290" s="1764"/>
      <c r="C290" s="163"/>
      <c r="D290" s="163"/>
      <c r="E290" s="163"/>
      <c r="F290" s="163"/>
      <c r="G290" s="163"/>
      <c r="H290" s="163"/>
      <c r="I290" s="163"/>
      <c r="J290" s="163"/>
      <c r="K290" s="163"/>
      <c r="L290" s="163"/>
      <c r="M290" s="163"/>
      <c r="N290" s="163"/>
      <c r="O290" s="163"/>
      <c r="P290" s="163"/>
      <c r="Q290" s="162"/>
      <c r="R290" s="162"/>
      <c r="S290" s="162"/>
      <c r="T290" s="163"/>
      <c r="U290" s="162"/>
      <c r="V290" s="162"/>
      <c r="W290" s="162"/>
      <c r="X290" s="162"/>
      <c r="Y290" s="162"/>
      <c r="Z290" s="162"/>
      <c r="AA290" s="162"/>
      <c r="AB290" s="162"/>
      <c r="AC290" s="162"/>
      <c r="AD290" s="162"/>
      <c r="AE290" s="162"/>
    </row>
    <row r="291" spans="1:31" s="924" customFormat="1">
      <c r="A291" s="162"/>
      <c r="B291" s="1764"/>
      <c r="C291" s="163"/>
      <c r="D291" s="163"/>
      <c r="E291" s="163"/>
      <c r="F291" s="163"/>
      <c r="G291" s="163"/>
      <c r="H291" s="163"/>
      <c r="I291" s="163"/>
      <c r="J291" s="163"/>
      <c r="K291" s="163"/>
      <c r="L291" s="163"/>
      <c r="M291" s="163"/>
      <c r="N291" s="163"/>
      <c r="O291" s="163"/>
      <c r="P291" s="163"/>
      <c r="Q291" s="162"/>
      <c r="R291" s="162"/>
      <c r="S291" s="162"/>
      <c r="T291" s="163"/>
      <c r="U291" s="162"/>
      <c r="V291" s="162"/>
      <c r="W291" s="162"/>
      <c r="X291" s="162"/>
      <c r="Y291" s="162"/>
      <c r="Z291" s="162"/>
      <c r="AA291" s="162"/>
      <c r="AB291" s="162"/>
      <c r="AC291" s="162"/>
      <c r="AD291" s="162"/>
      <c r="AE291" s="162"/>
    </row>
    <row r="292" spans="1:31" s="924" customFormat="1">
      <c r="A292" s="162"/>
      <c r="B292" s="1764"/>
      <c r="C292" s="163"/>
      <c r="D292" s="163"/>
      <c r="E292" s="163"/>
      <c r="F292" s="163"/>
      <c r="G292" s="163"/>
      <c r="H292" s="163"/>
      <c r="I292" s="163"/>
      <c r="J292" s="163"/>
      <c r="K292" s="163"/>
      <c r="L292" s="163"/>
      <c r="M292" s="163"/>
      <c r="N292" s="163"/>
      <c r="O292" s="163"/>
      <c r="P292" s="163"/>
      <c r="Q292" s="162"/>
      <c r="R292" s="162"/>
      <c r="S292" s="162"/>
      <c r="T292" s="163"/>
      <c r="U292" s="162"/>
      <c r="V292" s="162"/>
      <c r="W292" s="162"/>
      <c r="X292" s="162"/>
      <c r="Y292" s="162"/>
      <c r="Z292" s="162"/>
      <c r="AA292" s="162"/>
      <c r="AB292" s="162"/>
      <c r="AC292" s="162"/>
      <c r="AD292" s="162"/>
      <c r="AE292" s="162"/>
    </row>
    <row r="293" spans="1:31" s="924" customFormat="1">
      <c r="A293" s="162"/>
      <c r="B293" s="1764"/>
      <c r="C293" s="163"/>
      <c r="D293" s="163"/>
      <c r="E293" s="163"/>
      <c r="F293" s="163"/>
      <c r="G293" s="163"/>
      <c r="H293" s="163"/>
      <c r="I293" s="163"/>
      <c r="J293" s="163"/>
      <c r="K293" s="163"/>
      <c r="L293" s="163"/>
      <c r="M293" s="163"/>
      <c r="N293" s="163"/>
      <c r="O293" s="163"/>
      <c r="P293" s="163"/>
      <c r="Q293" s="162"/>
      <c r="R293" s="162"/>
      <c r="S293" s="162"/>
      <c r="T293" s="163"/>
      <c r="U293" s="162"/>
      <c r="V293" s="162"/>
      <c r="W293" s="162"/>
      <c r="X293" s="162"/>
      <c r="Y293" s="162"/>
      <c r="Z293" s="162"/>
      <c r="AA293" s="162"/>
      <c r="AB293" s="162"/>
      <c r="AC293" s="162"/>
      <c r="AD293" s="162"/>
      <c r="AE293" s="162"/>
    </row>
    <row r="294" spans="1:31" s="924" customFormat="1">
      <c r="A294" s="162"/>
      <c r="B294" s="1764"/>
      <c r="C294" s="163"/>
      <c r="D294" s="163"/>
      <c r="E294" s="163"/>
      <c r="F294" s="163"/>
      <c r="G294" s="163"/>
      <c r="H294" s="163"/>
      <c r="I294" s="163"/>
      <c r="J294" s="163"/>
      <c r="K294" s="163"/>
      <c r="L294" s="163"/>
      <c r="M294" s="163"/>
      <c r="N294" s="163"/>
      <c r="O294" s="163"/>
      <c r="P294" s="163"/>
      <c r="Q294" s="162"/>
      <c r="R294" s="162"/>
      <c r="S294" s="162"/>
      <c r="T294" s="163"/>
      <c r="U294" s="162"/>
      <c r="V294" s="162"/>
      <c r="W294" s="162"/>
      <c r="X294" s="162"/>
      <c r="Y294" s="162"/>
      <c r="Z294" s="162"/>
      <c r="AA294" s="162"/>
      <c r="AB294" s="162"/>
      <c r="AC294" s="162"/>
      <c r="AD294" s="162"/>
      <c r="AE294" s="162"/>
    </row>
    <row r="295" spans="1:31" s="924" customFormat="1">
      <c r="A295" s="162"/>
      <c r="B295" s="1764"/>
      <c r="C295" s="163"/>
      <c r="D295" s="163"/>
      <c r="E295" s="163"/>
      <c r="F295" s="163"/>
      <c r="G295" s="163"/>
      <c r="H295" s="163"/>
      <c r="I295" s="163"/>
      <c r="J295" s="163"/>
      <c r="K295" s="163"/>
      <c r="L295" s="163"/>
      <c r="M295" s="163"/>
      <c r="N295" s="163"/>
      <c r="O295" s="163"/>
      <c r="P295" s="163"/>
      <c r="Q295" s="162"/>
      <c r="R295" s="162"/>
      <c r="S295" s="162"/>
      <c r="T295" s="163"/>
      <c r="U295" s="162"/>
      <c r="V295" s="162"/>
      <c r="W295" s="162"/>
      <c r="X295" s="162"/>
      <c r="Y295" s="162"/>
      <c r="Z295" s="162"/>
      <c r="AA295" s="162"/>
      <c r="AB295" s="162"/>
      <c r="AC295" s="162"/>
      <c r="AD295" s="162"/>
      <c r="AE295" s="162"/>
    </row>
    <row r="296" spans="1:31" s="924" customFormat="1">
      <c r="A296" s="162"/>
      <c r="B296" s="1764"/>
      <c r="C296" s="163"/>
      <c r="D296" s="163"/>
      <c r="E296" s="163"/>
      <c r="F296" s="163"/>
      <c r="G296" s="163"/>
      <c r="H296" s="163"/>
      <c r="I296" s="163"/>
      <c r="J296" s="163"/>
      <c r="K296" s="163"/>
      <c r="L296" s="163"/>
      <c r="M296" s="163"/>
      <c r="N296" s="163"/>
      <c r="O296" s="163"/>
      <c r="P296" s="163"/>
      <c r="Q296" s="162"/>
      <c r="R296" s="162"/>
      <c r="S296" s="162"/>
      <c r="T296" s="163"/>
      <c r="U296" s="162"/>
      <c r="V296" s="162"/>
      <c r="W296" s="162"/>
      <c r="X296" s="162"/>
      <c r="Y296" s="162"/>
      <c r="Z296" s="162"/>
      <c r="AA296" s="162"/>
      <c r="AB296" s="162"/>
      <c r="AC296" s="162"/>
      <c r="AD296" s="162"/>
      <c r="AE296" s="162"/>
    </row>
    <row r="297" spans="1:31" s="924" customFormat="1">
      <c r="A297" s="162"/>
      <c r="B297" s="1764"/>
      <c r="C297" s="163"/>
      <c r="D297" s="163"/>
      <c r="E297" s="163"/>
      <c r="F297" s="163"/>
      <c r="G297" s="163"/>
      <c r="H297" s="163"/>
      <c r="I297" s="163"/>
      <c r="J297" s="163"/>
      <c r="K297" s="163"/>
      <c r="L297" s="163"/>
      <c r="M297" s="163"/>
      <c r="N297" s="163"/>
      <c r="O297" s="163"/>
      <c r="P297" s="163"/>
      <c r="Q297" s="162"/>
      <c r="R297" s="162"/>
      <c r="S297" s="162"/>
      <c r="T297" s="163"/>
      <c r="U297" s="162"/>
      <c r="V297" s="162"/>
      <c r="W297" s="162"/>
      <c r="X297" s="162"/>
      <c r="Y297" s="162"/>
      <c r="Z297" s="162"/>
      <c r="AA297" s="162"/>
      <c r="AB297" s="162"/>
      <c r="AC297" s="162"/>
      <c r="AD297" s="162"/>
      <c r="AE297" s="162"/>
    </row>
    <row r="298" spans="1:31" s="924" customFormat="1">
      <c r="A298" s="162"/>
      <c r="B298" s="1764"/>
      <c r="C298" s="163"/>
      <c r="D298" s="163"/>
      <c r="E298" s="163"/>
      <c r="F298" s="163"/>
      <c r="G298" s="163"/>
      <c r="H298" s="163"/>
      <c r="I298" s="163"/>
      <c r="J298" s="163"/>
      <c r="K298" s="163"/>
      <c r="L298" s="163"/>
      <c r="M298" s="163"/>
      <c r="N298" s="163"/>
      <c r="O298" s="163"/>
      <c r="P298" s="163"/>
      <c r="Q298" s="162"/>
      <c r="R298" s="162"/>
      <c r="S298" s="162"/>
      <c r="T298" s="163"/>
      <c r="U298" s="162"/>
      <c r="V298" s="162"/>
      <c r="W298" s="162"/>
      <c r="X298" s="162"/>
      <c r="Y298" s="162"/>
      <c r="Z298" s="162"/>
      <c r="AA298" s="162"/>
      <c r="AB298" s="162"/>
      <c r="AC298" s="162"/>
      <c r="AD298" s="162"/>
      <c r="AE298" s="162"/>
    </row>
    <row r="299" spans="1:31" s="924" customFormat="1">
      <c r="A299" s="162"/>
      <c r="B299" s="1764"/>
      <c r="C299" s="163"/>
      <c r="D299" s="163"/>
      <c r="E299" s="163"/>
      <c r="F299" s="163"/>
      <c r="G299" s="163"/>
      <c r="H299" s="163"/>
      <c r="I299" s="163"/>
      <c r="J299" s="163"/>
      <c r="K299" s="163"/>
      <c r="L299" s="163"/>
      <c r="M299" s="163"/>
      <c r="N299" s="163"/>
      <c r="O299" s="163"/>
      <c r="P299" s="163"/>
      <c r="Q299" s="162"/>
      <c r="R299" s="162"/>
      <c r="S299" s="162"/>
      <c r="T299" s="163"/>
      <c r="U299" s="162"/>
      <c r="V299" s="162"/>
      <c r="W299" s="162"/>
      <c r="X299" s="162"/>
      <c r="Y299" s="162"/>
      <c r="Z299" s="162"/>
      <c r="AA299" s="162"/>
      <c r="AB299" s="162"/>
      <c r="AC299" s="162"/>
      <c r="AD299" s="162"/>
      <c r="AE299" s="162"/>
    </row>
    <row r="300" spans="1:31" s="924" customFormat="1">
      <c r="A300" s="162"/>
      <c r="B300" s="1764"/>
      <c r="C300" s="163"/>
      <c r="D300" s="163"/>
      <c r="E300" s="163"/>
      <c r="F300" s="163"/>
      <c r="G300" s="163"/>
      <c r="H300" s="163"/>
      <c r="I300" s="163"/>
      <c r="J300" s="163"/>
      <c r="K300" s="163"/>
      <c r="L300" s="163"/>
      <c r="M300" s="163"/>
      <c r="N300" s="163"/>
      <c r="O300" s="163"/>
      <c r="P300" s="163"/>
      <c r="Q300" s="162"/>
      <c r="R300" s="162"/>
      <c r="S300" s="162"/>
      <c r="T300" s="163"/>
      <c r="U300" s="162"/>
      <c r="V300" s="162"/>
      <c r="W300" s="162"/>
      <c r="X300" s="162"/>
      <c r="Y300" s="162"/>
      <c r="Z300" s="162"/>
      <c r="AA300" s="162"/>
      <c r="AB300" s="162"/>
      <c r="AC300" s="162"/>
      <c r="AD300" s="162"/>
      <c r="AE300" s="162"/>
    </row>
    <row r="301" spans="1:31" s="924" customFormat="1">
      <c r="A301" s="162"/>
      <c r="B301" s="1764"/>
      <c r="C301" s="163"/>
      <c r="D301" s="163"/>
      <c r="E301" s="163"/>
      <c r="F301" s="163"/>
      <c r="G301" s="163"/>
      <c r="H301" s="163"/>
      <c r="I301" s="163"/>
      <c r="J301" s="163"/>
      <c r="K301" s="163"/>
      <c r="L301" s="163"/>
      <c r="M301" s="163"/>
      <c r="N301" s="163"/>
      <c r="O301" s="163"/>
      <c r="P301" s="163"/>
      <c r="Q301" s="162"/>
      <c r="R301" s="162"/>
      <c r="S301" s="162"/>
      <c r="T301" s="163"/>
      <c r="U301" s="162"/>
      <c r="V301" s="162"/>
      <c r="W301" s="162"/>
      <c r="X301" s="162"/>
      <c r="Y301" s="162"/>
      <c r="Z301" s="162"/>
      <c r="AA301" s="162"/>
      <c r="AB301" s="162"/>
      <c r="AC301" s="162"/>
      <c r="AD301" s="162"/>
      <c r="AE301" s="162"/>
    </row>
    <row r="302" spans="1:31" s="924" customFormat="1">
      <c r="A302" s="162"/>
      <c r="B302" s="1764"/>
      <c r="C302" s="163"/>
      <c r="D302" s="163"/>
      <c r="E302" s="163"/>
      <c r="F302" s="163"/>
      <c r="G302" s="163"/>
      <c r="H302" s="163"/>
      <c r="I302" s="163"/>
      <c r="J302" s="163"/>
      <c r="K302" s="163"/>
      <c r="L302" s="163"/>
      <c r="M302" s="163"/>
      <c r="N302" s="163"/>
      <c r="O302" s="163"/>
      <c r="P302" s="163"/>
      <c r="Q302" s="162"/>
      <c r="R302" s="162"/>
      <c r="S302" s="162"/>
      <c r="T302" s="163"/>
      <c r="U302" s="162"/>
      <c r="V302" s="162"/>
      <c r="W302" s="162"/>
      <c r="X302" s="162"/>
      <c r="Y302" s="162"/>
      <c r="Z302" s="162"/>
      <c r="AA302" s="162"/>
      <c r="AB302" s="162"/>
      <c r="AC302" s="162"/>
      <c r="AD302" s="162"/>
      <c r="AE302" s="162"/>
    </row>
    <row r="303" spans="1:31" s="924" customFormat="1">
      <c r="A303" s="162"/>
      <c r="B303" s="1764"/>
      <c r="C303" s="163"/>
      <c r="D303" s="163"/>
      <c r="E303" s="163"/>
      <c r="F303" s="163"/>
      <c r="G303" s="163"/>
      <c r="H303" s="163"/>
      <c r="I303" s="163"/>
      <c r="J303" s="163"/>
      <c r="K303" s="163"/>
      <c r="L303" s="163"/>
      <c r="M303" s="163"/>
      <c r="N303" s="163"/>
      <c r="O303" s="163"/>
      <c r="P303" s="163"/>
      <c r="Q303" s="162"/>
      <c r="R303" s="162"/>
      <c r="S303" s="162"/>
      <c r="T303" s="163"/>
      <c r="U303" s="162"/>
      <c r="V303" s="162"/>
      <c r="W303" s="162"/>
      <c r="X303" s="162"/>
      <c r="Y303" s="162"/>
      <c r="Z303" s="162"/>
      <c r="AA303" s="162"/>
      <c r="AB303" s="162"/>
      <c r="AC303" s="162"/>
      <c r="AD303" s="162"/>
      <c r="AE303" s="162"/>
    </row>
    <row r="304" spans="1:31" s="924" customFormat="1">
      <c r="A304" s="162"/>
      <c r="B304" s="1764"/>
      <c r="C304" s="163"/>
      <c r="D304" s="163"/>
      <c r="E304" s="163"/>
      <c r="F304" s="163"/>
      <c r="G304" s="163"/>
      <c r="H304" s="163"/>
      <c r="I304" s="163"/>
      <c r="J304" s="163"/>
      <c r="K304" s="163"/>
      <c r="L304" s="163"/>
      <c r="M304" s="163"/>
      <c r="N304" s="163"/>
      <c r="O304" s="163"/>
      <c r="P304" s="163"/>
      <c r="Q304" s="162"/>
      <c r="R304" s="162"/>
      <c r="S304" s="162"/>
      <c r="T304" s="163"/>
      <c r="U304" s="162"/>
      <c r="V304" s="162"/>
      <c r="W304" s="162"/>
      <c r="X304" s="162"/>
      <c r="Y304" s="162"/>
      <c r="Z304" s="162"/>
      <c r="AA304" s="162"/>
      <c r="AB304" s="162"/>
      <c r="AC304" s="162"/>
      <c r="AD304" s="162"/>
      <c r="AE304" s="162"/>
    </row>
    <row r="305" spans="1:31" s="924" customFormat="1">
      <c r="A305" s="162"/>
      <c r="B305" s="1764"/>
      <c r="C305" s="163"/>
      <c r="D305" s="163"/>
      <c r="E305" s="163"/>
      <c r="F305" s="163"/>
      <c r="G305" s="163"/>
      <c r="H305" s="163"/>
      <c r="I305" s="163"/>
      <c r="J305" s="163"/>
      <c r="K305" s="163"/>
      <c r="L305" s="163"/>
      <c r="M305" s="163"/>
      <c r="N305" s="163"/>
      <c r="O305" s="163"/>
      <c r="P305" s="163"/>
      <c r="Q305" s="162"/>
      <c r="R305" s="162"/>
      <c r="S305" s="162"/>
      <c r="T305" s="163"/>
      <c r="U305" s="162"/>
      <c r="V305" s="162"/>
      <c r="W305" s="162"/>
      <c r="X305" s="162"/>
      <c r="Y305" s="162"/>
      <c r="Z305" s="162"/>
      <c r="AA305" s="162"/>
      <c r="AB305" s="162"/>
      <c r="AC305" s="162"/>
      <c r="AD305" s="162"/>
      <c r="AE305" s="162"/>
    </row>
    <row r="306" spans="1:31" s="924" customFormat="1">
      <c r="A306" s="162"/>
      <c r="B306" s="1764"/>
      <c r="C306" s="163"/>
      <c r="D306" s="163"/>
      <c r="E306" s="163"/>
      <c r="F306" s="163"/>
      <c r="G306" s="163"/>
      <c r="H306" s="163"/>
      <c r="I306" s="163"/>
      <c r="J306" s="163"/>
      <c r="K306" s="163"/>
      <c r="L306" s="163"/>
      <c r="M306" s="163"/>
      <c r="N306" s="163"/>
      <c r="O306" s="163"/>
      <c r="P306" s="163"/>
      <c r="Q306" s="162"/>
      <c r="R306" s="162"/>
      <c r="S306" s="162"/>
      <c r="T306" s="163"/>
      <c r="U306" s="162"/>
      <c r="V306" s="162"/>
      <c r="W306" s="162"/>
      <c r="X306" s="162"/>
      <c r="Y306" s="162"/>
      <c r="Z306" s="162"/>
      <c r="AA306" s="162"/>
      <c r="AB306" s="162"/>
      <c r="AC306" s="162"/>
      <c r="AD306" s="162"/>
      <c r="AE306" s="162"/>
    </row>
    <row r="307" spans="1:31" s="924" customFormat="1">
      <c r="A307" s="162"/>
      <c r="B307" s="1764"/>
      <c r="C307" s="163"/>
      <c r="D307" s="163"/>
      <c r="E307" s="163"/>
      <c r="F307" s="163"/>
      <c r="G307" s="163"/>
      <c r="H307" s="163"/>
      <c r="I307" s="163"/>
      <c r="J307" s="163"/>
      <c r="K307" s="163"/>
      <c r="L307" s="163"/>
      <c r="M307" s="163"/>
      <c r="N307" s="163"/>
      <c r="O307" s="163"/>
      <c r="P307" s="163"/>
      <c r="Q307" s="162"/>
      <c r="R307" s="162"/>
      <c r="S307" s="162"/>
      <c r="T307" s="163"/>
      <c r="U307" s="162"/>
      <c r="V307" s="162"/>
      <c r="W307" s="162"/>
      <c r="X307" s="162"/>
      <c r="Y307" s="162"/>
      <c r="Z307" s="162"/>
      <c r="AA307" s="162"/>
      <c r="AB307" s="162"/>
      <c r="AC307" s="162"/>
      <c r="AD307" s="162"/>
      <c r="AE307" s="162"/>
    </row>
    <row r="308" spans="1:31" s="924" customFormat="1">
      <c r="A308" s="162"/>
      <c r="B308" s="1764"/>
      <c r="C308" s="163"/>
      <c r="D308" s="163"/>
      <c r="E308" s="163"/>
      <c r="F308" s="163"/>
      <c r="G308" s="163"/>
      <c r="H308" s="163"/>
      <c r="I308" s="163"/>
      <c r="J308" s="163"/>
      <c r="K308" s="163"/>
      <c r="L308" s="163"/>
      <c r="M308" s="163"/>
      <c r="N308" s="163"/>
      <c r="O308" s="163"/>
      <c r="P308" s="163"/>
      <c r="Q308" s="162"/>
      <c r="R308" s="162"/>
      <c r="S308" s="162"/>
      <c r="T308" s="163"/>
      <c r="U308" s="162"/>
      <c r="V308" s="162"/>
      <c r="W308" s="162"/>
      <c r="X308" s="162"/>
      <c r="Y308" s="162"/>
      <c r="Z308" s="162"/>
      <c r="AA308" s="162"/>
      <c r="AB308" s="162"/>
      <c r="AC308" s="162"/>
      <c r="AD308" s="162"/>
      <c r="AE308" s="162"/>
    </row>
    <row r="309" spans="1:31" s="924" customFormat="1">
      <c r="A309" s="162"/>
      <c r="B309" s="1764"/>
      <c r="C309" s="163"/>
      <c r="D309" s="163"/>
      <c r="E309" s="163"/>
      <c r="F309" s="163"/>
      <c r="G309" s="163"/>
      <c r="H309" s="163"/>
      <c r="I309" s="163"/>
      <c r="J309" s="163"/>
      <c r="K309" s="163"/>
      <c r="L309" s="163"/>
      <c r="M309" s="163"/>
      <c r="N309" s="163"/>
      <c r="O309" s="163"/>
      <c r="P309" s="163"/>
      <c r="Q309" s="162"/>
      <c r="R309" s="162"/>
      <c r="S309" s="162"/>
      <c r="T309" s="163"/>
      <c r="U309" s="162"/>
      <c r="V309" s="162"/>
      <c r="W309" s="162"/>
      <c r="X309" s="162"/>
      <c r="Y309" s="162"/>
      <c r="Z309" s="162"/>
      <c r="AA309" s="162"/>
      <c r="AB309" s="162"/>
      <c r="AC309" s="162"/>
      <c r="AD309" s="162"/>
      <c r="AE309" s="162"/>
    </row>
    <row r="310" spans="1:31" s="924" customFormat="1">
      <c r="A310" s="162"/>
      <c r="B310" s="1764"/>
      <c r="C310" s="163"/>
      <c r="D310" s="163"/>
      <c r="E310" s="163"/>
      <c r="F310" s="163"/>
      <c r="G310" s="163"/>
      <c r="H310" s="163"/>
      <c r="I310" s="163"/>
      <c r="J310" s="163"/>
      <c r="K310" s="163"/>
      <c r="L310" s="163"/>
      <c r="M310" s="163"/>
      <c r="N310" s="163"/>
      <c r="O310" s="163"/>
      <c r="P310" s="163"/>
      <c r="Q310" s="162"/>
      <c r="R310" s="162"/>
      <c r="S310" s="162"/>
      <c r="T310" s="163"/>
      <c r="U310" s="162"/>
      <c r="V310" s="162"/>
      <c r="W310" s="162"/>
      <c r="X310" s="162"/>
      <c r="Y310" s="162"/>
      <c r="Z310" s="162"/>
      <c r="AA310" s="162"/>
      <c r="AB310" s="162"/>
      <c r="AC310" s="162"/>
      <c r="AD310" s="162"/>
      <c r="AE310" s="162"/>
    </row>
    <row r="311" spans="1:31" s="924" customFormat="1">
      <c r="A311" s="162"/>
      <c r="B311" s="1764"/>
      <c r="C311" s="163"/>
      <c r="D311" s="163"/>
      <c r="E311" s="163"/>
      <c r="F311" s="163"/>
      <c r="G311" s="163"/>
      <c r="H311" s="163"/>
      <c r="I311" s="163"/>
      <c r="J311" s="163"/>
      <c r="K311" s="163"/>
      <c r="L311" s="163"/>
      <c r="M311" s="163"/>
      <c r="N311" s="163"/>
      <c r="O311" s="163"/>
      <c r="P311" s="163"/>
      <c r="Q311" s="162"/>
      <c r="R311" s="162"/>
      <c r="S311" s="162"/>
      <c r="T311" s="163"/>
      <c r="U311" s="162"/>
      <c r="V311" s="162"/>
      <c r="W311" s="162"/>
      <c r="X311" s="162"/>
      <c r="Y311" s="162"/>
      <c r="Z311" s="162"/>
      <c r="AA311" s="162"/>
      <c r="AB311" s="162"/>
      <c r="AC311" s="162"/>
      <c r="AD311" s="162"/>
      <c r="AE311" s="162"/>
    </row>
    <row r="312" spans="1:31" s="924" customFormat="1">
      <c r="A312" s="162"/>
      <c r="B312" s="1764"/>
      <c r="C312" s="163"/>
      <c r="D312" s="163"/>
      <c r="E312" s="163"/>
      <c r="F312" s="163"/>
      <c r="G312" s="163"/>
      <c r="H312" s="163"/>
      <c r="I312" s="163"/>
      <c r="J312" s="163"/>
      <c r="K312" s="163"/>
      <c r="L312" s="163"/>
      <c r="M312" s="163"/>
      <c r="N312" s="163"/>
      <c r="O312" s="163"/>
      <c r="P312" s="163"/>
      <c r="Q312" s="162"/>
      <c r="R312" s="162"/>
      <c r="S312" s="162"/>
      <c r="T312" s="163"/>
      <c r="U312" s="162"/>
      <c r="V312" s="162"/>
      <c r="W312" s="162"/>
      <c r="X312" s="162"/>
      <c r="Y312" s="162"/>
      <c r="Z312" s="162"/>
      <c r="AA312" s="162"/>
      <c r="AB312" s="162"/>
      <c r="AC312" s="162"/>
      <c r="AD312" s="162"/>
      <c r="AE312" s="162"/>
    </row>
    <row r="313" spans="1:31" s="924" customFormat="1">
      <c r="A313" s="162"/>
      <c r="B313" s="1764"/>
      <c r="C313" s="163"/>
      <c r="D313" s="163"/>
      <c r="E313" s="163"/>
      <c r="F313" s="163"/>
      <c r="G313" s="163"/>
      <c r="H313" s="163"/>
      <c r="I313" s="163"/>
      <c r="J313" s="163"/>
      <c r="K313" s="163"/>
      <c r="L313" s="163"/>
      <c r="M313" s="163"/>
      <c r="N313" s="163"/>
      <c r="O313" s="163"/>
      <c r="P313" s="163"/>
      <c r="Q313" s="162"/>
      <c r="R313" s="162"/>
      <c r="S313" s="162"/>
      <c r="T313" s="163"/>
      <c r="U313" s="162"/>
      <c r="V313" s="162"/>
      <c r="W313" s="162"/>
      <c r="X313" s="162"/>
      <c r="Y313" s="162"/>
      <c r="Z313" s="162"/>
      <c r="AA313" s="162"/>
      <c r="AB313" s="162"/>
      <c r="AC313" s="162"/>
      <c r="AD313" s="162"/>
      <c r="AE313" s="162"/>
    </row>
    <row r="314" spans="1:31" s="924" customFormat="1">
      <c r="A314" s="162"/>
      <c r="B314" s="1764"/>
      <c r="C314" s="163"/>
      <c r="D314" s="163"/>
      <c r="E314" s="163"/>
      <c r="F314" s="163"/>
      <c r="G314" s="163"/>
      <c r="H314" s="163"/>
      <c r="I314" s="163"/>
      <c r="J314" s="163"/>
      <c r="K314" s="163"/>
      <c r="L314" s="163"/>
      <c r="M314" s="163"/>
      <c r="N314" s="163"/>
      <c r="O314" s="163"/>
      <c r="P314" s="163"/>
      <c r="Q314" s="162"/>
      <c r="R314" s="162"/>
      <c r="S314" s="162"/>
      <c r="T314" s="163"/>
      <c r="U314" s="162"/>
      <c r="V314" s="162"/>
      <c r="W314" s="162"/>
      <c r="X314" s="162"/>
      <c r="Y314" s="162"/>
      <c r="Z314" s="162"/>
      <c r="AA314" s="162"/>
      <c r="AB314" s="162"/>
      <c r="AC314" s="162"/>
      <c r="AD314" s="162"/>
      <c r="AE314" s="162"/>
    </row>
    <row r="315" spans="1:31" s="924" customFormat="1">
      <c r="A315" s="162"/>
      <c r="B315" s="1764"/>
      <c r="C315" s="163"/>
      <c r="D315" s="163"/>
      <c r="E315" s="163"/>
      <c r="F315" s="163"/>
      <c r="G315" s="163"/>
      <c r="H315" s="163"/>
      <c r="I315" s="163"/>
      <c r="J315" s="163"/>
      <c r="K315" s="163"/>
      <c r="L315" s="163"/>
      <c r="M315" s="163"/>
      <c r="N315" s="163"/>
      <c r="O315" s="163"/>
      <c r="P315" s="163"/>
      <c r="Q315" s="162"/>
      <c r="R315" s="162"/>
      <c r="S315" s="162"/>
      <c r="T315" s="163"/>
      <c r="U315" s="162"/>
      <c r="V315" s="162"/>
      <c r="W315" s="162"/>
      <c r="X315" s="162"/>
      <c r="Y315" s="162"/>
      <c r="Z315" s="162"/>
      <c r="AA315" s="162"/>
      <c r="AB315" s="162"/>
      <c r="AC315" s="162"/>
      <c r="AD315" s="162"/>
      <c r="AE315" s="162"/>
    </row>
    <row r="316" spans="1:31" s="924" customFormat="1">
      <c r="A316" s="162"/>
      <c r="B316" s="1764"/>
      <c r="C316" s="163"/>
      <c r="D316" s="163"/>
      <c r="E316" s="163"/>
      <c r="F316" s="163"/>
      <c r="G316" s="163"/>
      <c r="H316" s="163"/>
      <c r="I316" s="163"/>
      <c r="J316" s="163"/>
      <c r="K316" s="163"/>
      <c r="L316" s="163"/>
      <c r="M316" s="163"/>
      <c r="N316" s="163"/>
      <c r="O316" s="163"/>
      <c r="P316" s="163"/>
      <c r="Q316" s="162"/>
      <c r="R316" s="162"/>
      <c r="S316" s="162"/>
      <c r="T316" s="163"/>
      <c r="U316" s="162"/>
      <c r="V316" s="162"/>
      <c r="W316" s="162"/>
      <c r="X316" s="162"/>
      <c r="Y316" s="162"/>
      <c r="Z316" s="162"/>
      <c r="AA316" s="162"/>
      <c r="AB316" s="162"/>
      <c r="AC316" s="162"/>
      <c r="AD316" s="162"/>
      <c r="AE316" s="162"/>
    </row>
    <row r="317" spans="1:31" s="924" customFormat="1">
      <c r="A317" s="162"/>
      <c r="B317" s="1764"/>
      <c r="C317" s="163"/>
      <c r="D317" s="163"/>
      <c r="E317" s="163"/>
      <c r="F317" s="163"/>
      <c r="G317" s="163"/>
      <c r="H317" s="163"/>
      <c r="I317" s="163"/>
      <c r="J317" s="163"/>
      <c r="K317" s="163"/>
      <c r="L317" s="163"/>
      <c r="M317" s="163"/>
      <c r="N317" s="163"/>
      <c r="O317" s="163"/>
      <c r="P317" s="163"/>
      <c r="Q317" s="162"/>
      <c r="R317" s="162"/>
      <c r="S317" s="162"/>
      <c r="T317" s="163"/>
      <c r="U317" s="162"/>
      <c r="V317" s="162"/>
      <c r="W317" s="162"/>
      <c r="X317" s="162"/>
      <c r="Y317" s="162"/>
      <c r="Z317" s="162"/>
      <c r="AA317" s="162"/>
      <c r="AB317" s="162"/>
      <c r="AC317" s="162"/>
      <c r="AD317" s="162"/>
      <c r="AE317" s="162"/>
    </row>
    <row r="318" spans="1:31" s="924" customFormat="1">
      <c r="A318" s="162"/>
      <c r="B318" s="1764"/>
      <c r="C318" s="163"/>
      <c r="D318" s="163"/>
      <c r="E318" s="163"/>
      <c r="F318" s="163"/>
      <c r="G318" s="163"/>
      <c r="H318" s="163"/>
      <c r="I318" s="163"/>
      <c r="J318" s="163"/>
      <c r="K318" s="163"/>
      <c r="L318" s="163"/>
      <c r="M318" s="163"/>
      <c r="N318" s="163"/>
      <c r="O318" s="163"/>
      <c r="P318" s="163"/>
      <c r="Q318" s="162"/>
      <c r="R318" s="162"/>
      <c r="S318" s="162"/>
      <c r="T318" s="163"/>
      <c r="U318" s="162"/>
      <c r="V318" s="162"/>
      <c r="W318" s="162"/>
      <c r="X318" s="162"/>
      <c r="Y318" s="162"/>
      <c r="Z318" s="162"/>
      <c r="AA318" s="162"/>
      <c r="AB318" s="162"/>
      <c r="AC318" s="162"/>
      <c r="AD318" s="162"/>
      <c r="AE318" s="162"/>
    </row>
    <row r="319" spans="1:31" s="924" customFormat="1">
      <c r="A319" s="162"/>
      <c r="B319" s="1764"/>
      <c r="C319" s="163"/>
      <c r="D319" s="163"/>
      <c r="E319" s="163"/>
      <c r="F319" s="163"/>
      <c r="G319" s="163"/>
      <c r="H319" s="163"/>
      <c r="I319" s="163"/>
      <c r="J319" s="163"/>
      <c r="K319" s="163"/>
      <c r="L319" s="163"/>
      <c r="M319" s="163"/>
      <c r="N319" s="163"/>
      <c r="O319" s="163"/>
      <c r="P319" s="163"/>
      <c r="Q319" s="162"/>
      <c r="R319" s="162"/>
      <c r="S319" s="162"/>
      <c r="T319" s="163"/>
      <c r="U319" s="162"/>
      <c r="V319" s="162"/>
      <c r="W319" s="162"/>
      <c r="X319" s="162"/>
      <c r="Y319" s="162"/>
      <c r="Z319" s="162"/>
      <c r="AA319" s="162"/>
      <c r="AB319" s="162"/>
      <c r="AC319" s="162"/>
      <c r="AD319" s="162"/>
      <c r="AE319" s="162"/>
    </row>
    <row r="320" spans="1:31" s="924" customFormat="1">
      <c r="A320" s="162"/>
      <c r="B320" s="1764"/>
      <c r="C320" s="163"/>
      <c r="D320" s="163"/>
      <c r="E320" s="163"/>
      <c r="F320" s="163"/>
      <c r="G320" s="163"/>
      <c r="H320" s="163"/>
      <c r="I320" s="163"/>
      <c r="J320" s="163"/>
      <c r="K320" s="163"/>
      <c r="L320" s="163"/>
      <c r="M320" s="163"/>
      <c r="N320" s="163"/>
      <c r="O320" s="163"/>
      <c r="P320" s="163"/>
      <c r="Q320" s="162"/>
      <c r="R320" s="162"/>
      <c r="S320" s="162"/>
      <c r="T320" s="163"/>
      <c r="U320" s="162"/>
      <c r="V320" s="162"/>
      <c r="W320" s="162"/>
      <c r="X320" s="162"/>
      <c r="Y320" s="162"/>
      <c r="Z320" s="162"/>
      <c r="AA320" s="162"/>
      <c r="AB320" s="162"/>
      <c r="AC320" s="162"/>
      <c r="AD320" s="162"/>
      <c r="AE320" s="162"/>
    </row>
    <row r="321" spans="1:31" s="924" customFormat="1">
      <c r="A321" s="162"/>
      <c r="B321" s="1764"/>
      <c r="C321" s="163"/>
      <c r="D321" s="163"/>
      <c r="E321" s="163"/>
      <c r="F321" s="163"/>
      <c r="G321" s="163"/>
      <c r="H321" s="163"/>
      <c r="I321" s="163"/>
      <c r="J321" s="163"/>
      <c r="K321" s="163"/>
      <c r="L321" s="163"/>
      <c r="M321" s="163"/>
      <c r="N321" s="163"/>
      <c r="O321" s="163"/>
      <c r="P321" s="163"/>
      <c r="Q321" s="162"/>
      <c r="R321" s="162"/>
      <c r="S321" s="162"/>
      <c r="T321" s="163"/>
      <c r="U321" s="162"/>
      <c r="V321" s="162"/>
      <c r="W321" s="162"/>
      <c r="X321" s="162"/>
      <c r="Y321" s="162"/>
      <c r="Z321" s="162"/>
      <c r="AA321" s="162"/>
      <c r="AB321" s="162"/>
      <c r="AC321" s="162"/>
      <c r="AD321" s="162"/>
      <c r="AE321" s="162"/>
    </row>
    <row r="322" spans="1:31" s="924" customFormat="1">
      <c r="A322" s="162"/>
      <c r="B322" s="1764"/>
      <c r="C322" s="163"/>
      <c r="D322" s="163"/>
      <c r="E322" s="163"/>
      <c r="F322" s="163"/>
      <c r="G322" s="163"/>
      <c r="H322" s="163"/>
      <c r="I322" s="163"/>
      <c r="J322" s="163"/>
      <c r="K322" s="163"/>
      <c r="L322" s="163"/>
      <c r="M322" s="163"/>
      <c r="N322" s="163"/>
      <c r="O322" s="163"/>
      <c r="P322" s="163"/>
      <c r="Q322" s="162"/>
      <c r="R322" s="162"/>
      <c r="S322" s="162"/>
      <c r="T322" s="163"/>
      <c r="U322" s="162"/>
      <c r="V322" s="162"/>
      <c r="W322" s="162"/>
      <c r="X322" s="162"/>
      <c r="Y322" s="162"/>
      <c r="Z322" s="162"/>
      <c r="AA322" s="162"/>
      <c r="AB322" s="162"/>
      <c r="AC322" s="162"/>
      <c r="AD322" s="162"/>
      <c r="AE322" s="162"/>
    </row>
    <row r="323" spans="1:31" s="924" customFormat="1">
      <c r="A323" s="162"/>
      <c r="B323" s="1764"/>
      <c r="C323" s="163"/>
      <c r="D323" s="163"/>
      <c r="E323" s="163"/>
      <c r="F323" s="163"/>
      <c r="G323" s="163"/>
      <c r="H323" s="163"/>
      <c r="I323" s="163"/>
      <c r="J323" s="163"/>
      <c r="K323" s="163"/>
      <c r="L323" s="163"/>
      <c r="M323" s="163"/>
      <c r="N323" s="163"/>
      <c r="O323" s="163"/>
      <c r="P323" s="163"/>
      <c r="Q323" s="162"/>
      <c r="R323" s="162"/>
      <c r="S323" s="162"/>
      <c r="T323" s="163"/>
      <c r="U323" s="162"/>
      <c r="V323" s="162"/>
      <c r="W323" s="162"/>
      <c r="X323" s="162"/>
      <c r="Y323" s="162"/>
      <c r="Z323" s="162"/>
      <c r="AA323" s="162"/>
      <c r="AB323" s="162"/>
      <c r="AC323" s="162"/>
      <c r="AD323" s="162"/>
      <c r="AE323" s="162"/>
    </row>
    <row r="324" spans="1:31" s="924" customFormat="1">
      <c r="A324" s="162"/>
      <c r="B324" s="1764"/>
      <c r="C324" s="163"/>
      <c r="D324" s="163"/>
      <c r="E324" s="163"/>
      <c r="F324" s="163"/>
      <c r="G324" s="163"/>
      <c r="H324" s="163"/>
      <c r="I324" s="163"/>
      <c r="J324" s="163"/>
      <c r="K324" s="163"/>
      <c r="L324" s="163"/>
      <c r="M324" s="163"/>
      <c r="N324" s="163"/>
      <c r="O324" s="163"/>
      <c r="P324" s="163"/>
      <c r="Q324" s="162"/>
      <c r="R324" s="162"/>
      <c r="S324" s="162"/>
      <c r="T324" s="163"/>
      <c r="U324" s="162"/>
      <c r="V324" s="162"/>
      <c r="W324" s="162"/>
      <c r="X324" s="162"/>
      <c r="Y324" s="162"/>
      <c r="Z324" s="162"/>
      <c r="AA324" s="162"/>
      <c r="AB324" s="162"/>
      <c r="AC324" s="162"/>
      <c r="AD324" s="162"/>
      <c r="AE324" s="162"/>
    </row>
    <row r="325" spans="1:31" s="924" customFormat="1">
      <c r="A325" s="162"/>
      <c r="B325" s="1764"/>
      <c r="C325" s="163"/>
      <c r="D325" s="163"/>
      <c r="E325" s="163"/>
      <c r="F325" s="163"/>
      <c r="G325" s="163"/>
      <c r="H325" s="163"/>
      <c r="I325" s="163"/>
      <c r="J325" s="163"/>
      <c r="K325" s="163"/>
      <c r="L325" s="163"/>
      <c r="M325" s="163"/>
      <c r="N325" s="163"/>
      <c r="O325" s="163"/>
      <c r="P325" s="163"/>
      <c r="Q325" s="162"/>
      <c r="R325" s="162"/>
      <c r="S325" s="162"/>
      <c r="T325" s="163"/>
      <c r="U325" s="162"/>
      <c r="V325" s="162"/>
      <c r="W325" s="162"/>
      <c r="X325" s="162"/>
      <c r="Y325" s="162"/>
      <c r="Z325" s="162"/>
      <c r="AA325" s="162"/>
      <c r="AB325" s="162"/>
      <c r="AC325" s="162"/>
      <c r="AD325" s="162"/>
      <c r="AE325" s="162"/>
    </row>
    <row r="326" spans="1:31" s="924" customFormat="1">
      <c r="A326" s="162"/>
      <c r="B326" s="1764"/>
      <c r="C326" s="163"/>
      <c r="D326" s="163"/>
      <c r="E326" s="163"/>
      <c r="F326" s="163"/>
      <c r="G326" s="163"/>
      <c r="H326" s="163"/>
      <c r="I326" s="163"/>
      <c r="J326" s="163"/>
      <c r="K326" s="163"/>
      <c r="L326" s="163"/>
      <c r="M326" s="163"/>
      <c r="N326" s="163"/>
      <c r="O326" s="163"/>
      <c r="P326" s="163"/>
      <c r="Q326" s="162"/>
      <c r="R326" s="162"/>
      <c r="S326" s="162"/>
      <c r="T326" s="163"/>
      <c r="U326" s="162"/>
      <c r="V326" s="162"/>
      <c r="W326" s="162"/>
      <c r="X326" s="162"/>
      <c r="Y326" s="162"/>
      <c r="Z326" s="162"/>
      <c r="AA326" s="162"/>
      <c r="AB326" s="162"/>
      <c r="AC326" s="162"/>
      <c r="AD326" s="162"/>
      <c r="AE326" s="162"/>
    </row>
    <row r="327" spans="1:31" s="924" customFormat="1">
      <c r="A327" s="162"/>
      <c r="B327" s="1764"/>
      <c r="C327" s="163"/>
      <c r="D327" s="163"/>
      <c r="E327" s="163"/>
      <c r="F327" s="163"/>
      <c r="G327" s="163"/>
      <c r="H327" s="163"/>
      <c r="I327" s="163"/>
      <c r="J327" s="163"/>
      <c r="K327" s="163"/>
      <c r="L327" s="163"/>
      <c r="M327" s="163"/>
      <c r="N327" s="163"/>
      <c r="O327" s="163"/>
      <c r="P327" s="163"/>
      <c r="Q327" s="162"/>
      <c r="R327" s="162"/>
      <c r="S327" s="162"/>
      <c r="T327" s="163"/>
      <c r="U327" s="162"/>
      <c r="V327" s="162"/>
      <c r="W327" s="162"/>
      <c r="X327" s="162"/>
      <c r="Y327" s="162"/>
      <c r="Z327" s="162"/>
      <c r="AA327" s="162"/>
      <c r="AB327" s="162"/>
      <c r="AC327" s="162"/>
      <c r="AD327" s="162"/>
      <c r="AE327" s="162"/>
    </row>
    <row r="328" spans="1:31" s="924" customFormat="1">
      <c r="A328" s="162"/>
      <c r="B328" s="1764"/>
      <c r="C328" s="163"/>
      <c r="D328" s="163"/>
      <c r="E328" s="163"/>
      <c r="F328" s="163"/>
      <c r="G328" s="163"/>
      <c r="H328" s="163"/>
      <c r="I328" s="163"/>
      <c r="J328" s="163"/>
      <c r="K328" s="163"/>
      <c r="L328" s="163"/>
      <c r="M328" s="163"/>
      <c r="N328" s="163"/>
      <c r="O328" s="163"/>
      <c r="P328" s="163"/>
      <c r="Q328" s="162"/>
      <c r="R328" s="162"/>
      <c r="S328" s="162"/>
      <c r="T328" s="163"/>
      <c r="U328" s="162"/>
      <c r="V328" s="162"/>
      <c r="W328" s="162"/>
      <c r="X328" s="162"/>
      <c r="Y328" s="162"/>
      <c r="Z328" s="162"/>
      <c r="AA328" s="162"/>
      <c r="AB328" s="162"/>
      <c r="AC328" s="162"/>
      <c r="AD328" s="162"/>
      <c r="AE328" s="162"/>
    </row>
    <row r="329" spans="1:31" s="924" customFormat="1">
      <c r="A329" s="162"/>
      <c r="B329" s="1764"/>
      <c r="C329" s="163"/>
      <c r="D329" s="163"/>
      <c r="E329" s="163"/>
      <c r="F329" s="163"/>
      <c r="G329" s="163"/>
      <c r="H329" s="163"/>
      <c r="I329" s="163"/>
      <c r="J329" s="163"/>
      <c r="K329" s="163"/>
      <c r="L329" s="163"/>
      <c r="M329" s="163"/>
      <c r="N329" s="163"/>
      <c r="O329" s="163"/>
      <c r="P329" s="163"/>
      <c r="Q329" s="162"/>
      <c r="R329" s="162"/>
      <c r="S329" s="162"/>
      <c r="T329" s="163"/>
      <c r="U329" s="162"/>
      <c r="V329" s="162"/>
      <c r="W329" s="162"/>
      <c r="X329" s="162"/>
      <c r="Y329" s="162"/>
      <c r="Z329" s="162"/>
      <c r="AA329" s="162"/>
      <c r="AB329" s="162"/>
      <c r="AC329" s="162"/>
      <c r="AD329" s="162"/>
      <c r="AE329" s="162"/>
    </row>
    <row r="330" spans="1:31" s="924" customFormat="1">
      <c r="A330" s="162"/>
      <c r="B330" s="1764"/>
      <c r="C330" s="163"/>
      <c r="D330" s="163"/>
      <c r="E330" s="163"/>
      <c r="F330" s="163"/>
      <c r="G330" s="163"/>
      <c r="H330" s="163"/>
      <c r="I330" s="163"/>
      <c r="J330" s="163"/>
      <c r="K330" s="163"/>
      <c r="L330" s="163"/>
      <c r="M330" s="163"/>
      <c r="N330" s="163"/>
      <c r="O330" s="163"/>
      <c r="P330" s="163"/>
      <c r="Q330" s="162"/>
      <c r="R330" s="162"/>
      <c r="S330" s="162"/>
      <c r="T330" s="163"/>
      <c r="U330" s="162"/>
      <c r="V330" s="162"/>
      <c r="W330" s="162"/>
      <c r="X330" s="162"/>
      <c r="Y330" s="162"/>
      <c r="Z330" s="162"/>
      <c r="AA330" s="162"/>
      <c r="AB330" s="162"/>
      <c r="AC330" s="162"/>
      <c r="AD330" s="162"/>
      <c r="AE330" s="162"/>
    </row>
    <row r="331" spans="1:31" s="924" customFormat="1">
      <c r="A331" s="162"/>
      <c r="B331" s="1764"/>
      <c r="C331" s="163"/>
      <c r="D331" s="163"/>
      <c r="E331" s="163"/>
      <c r="F331" s="163"/>
      <c r="G331" s="163"/>
      <c r="H331" s="163"/>
      <c r="I331" s="163"/>
      <c r="J331" s="163"/>
      <c r="K331" s="163"/>
      <c r="L331" s="163"/>
      <c r="M331" s="163"/>
      <c r="N331" s="163"/>
      <c r="O331" s="163"/>
      <c r="P331" s="163"/>
      <c r="Q331" s="162"/>
      <c r="R331" s="162"/>
      <c r="S331" s="162"/>
      <c r="T331" s="163"/>
      <c r="U331" s="162"/>
      <c r="V331" s="162"/>
      <c r="W331" s="162"/>
      <c r="X331" s="162"/>
      <c r="Y331" s="162"/>
      <c r="Z331" s="162"/>
      <c r="AA331" s="162"/>
      <c r="AB331" s="162"/>
      <c r="AC331" s="162"/>
      <c r="AD331" s="162"/>
      <c r="AE331" s="162"/>
    </row>
    <row r="332" spans="1:31" s="924" customFormat="1">
      <c r="A332" s="162"/>
      <c r="B332" s="1764"/>
      <c r="C332" s="163"/>
      <c r="D332" s="163"/>
      <c r="E332" s="163"/>
      <c r="F332" s="163"/>
      <c r="G332" s="163"/>
      <c r="H332" s="163"/>
      <c r="I332" s="163"/>
      <c r="J332" s="163"/>
      <c r="K332" s="163"/>
      <c r="L332" s="163"/>
      <c r="M332" s="163"/>
      <c r="N332" s="163"/>
      <c r="O332" s="163"/>
      <c r="P332" s="163"/>
      <c r="Q332" s="162"/>
      <c r="R332" s="162"/>
      <c r="S332" s="162"/>
      <c r="T332" s="163"/>
      <c r="U332" s="162"/>
      <c r="V332" s="162"/>
      <c r="W332" s="162"/>
      <c r="X332" s="162"/>
      <c r="Y332" s="162"/>
      <c r="Z332" s="162"/>
      <c r="AA332" s="162"/>
      <c r="AB332" s="162"/>
      <c r="AC332" s="162"/>
      <c r="AD332" s="162"/>
      <c r="AE332" s="162"/>
    </row>
    <row r="333" spans="1:31" s="924" customFormat="1">
      <c r="A333" s="162"/>
      <c r="B333" s="1764"/>
      <c r="C333" s="163"/>
      <c r="D333" s="163"/>
      <c r="E333" s="163"/>
      <c r="F333" s="163"/>
      <c r="G333" s="163"/>
      <c r="H333" s="163"/>
      <c r="I333" s="163"/>
      <c r="J333" s="163"/>
      <c r="K333" s="163"/>
      <c r="L333" s="163"/>
      <c r="M333" s="163"/>
      <c r="N333" s="163"/>
      <c r="O333" s="163"/>
      <c r="P333" s="163"/>
      <c r="Q333" s="162"/>
      <c r="R333" s="162"/>
      <c r="S333" s="162"/>
      <c r="T333" s="163"/>
      <c r="U333" s="162"/>
      <c r="V333" s="162"/>
      <c r="W333" s="162"/>
      <c r="X333" s="162"/>
      <c r="Y333" s="162"/>
      <c r="Z333" s="162"/>
      <c r="AA333" s="162"/>
      <c r="AB333" s="162"/>
      <c r="AC333" s="162"/>
      <c r="AD333" s="162"/>
      <c r="AE333" s="162"/>
    </row>
    <row r="334" spans="1:31" s="924" customFormat="1">
      <c r="A334" s="162"/>
      <c r="B334" s="1764"/>
      <c r="C334" s="163"/>
      <c r="D334" s="163"/>
      <c r="E334" s="163"/>
      <c r="F334" s="163"/>
      <c r="G334" s="163"/>
      <c r="H334" s="163"/>
      <c r="I334" s="163"/>
      <c r="J334" s="163"/>
      <c r="K334" s="163"/>
      <c r="L334" s="163"/>
      <c r="M334" s="163"/>
      <c r="N334" s="163"/>
      <c r="O334" s="163"/>
      <c r="P334" s="163"/>
      <c r="Q334" s="162"/>
      <c r="R334" s="162"/>
      <c r="S334" s="162"/>
      <c r="T334" s="163"/>
      <c r="U334" s="162"/>
      <c r="V334" s="162"/>
      <c r="W334" s="162"/>
      <c r="X334" s="162"/>
      <c r="Y334" s="162"/>
      <c r="Z334" s="162"/>
      <c r="AA334" s="162"/>
      <c r="AB334" s="162"/>
      <c r="AC334" s="162"/>
      <c r="AD334" s="162"/>
      <c r="AE334" s="162"/>
    </row>
    <row r="335" spans="1:31" s="924" customFormat="1">
      <c r="A335" s="162"/>
      <c r="B335" s="1764"/>
      <c r="C335" s="163"/>
      <c r="D335" s="163"/>
      <c r="E335" s="163"/>
      <c r="F335" s="163"/>
      <c r="G335" s="163"/>
      <c r="H335" s="163"/>
      <c r="I335" s="163"/>
      <c r="J335" s="163"/>
      <c r="K335" s="163"/>
      <c r="L335" s="163"/>
      <c r="M335" s="163"/>
      <c r="N335" s="163"/>
      <c r="O335" s="163"/>
      <c r="P335" s="163"/>
      <c r="Q335" s="162"/>
      <c r="R335" s="162"/>
      <c r="S335" s="162"/>
      <c r="T335" s="163"/>
      <c r="U335" s="162"/>
      <c r="V335" s="162"/>
      <c r="W335" s="162"/>
      <c r="X335" s="162"/>
      <c r="Y335" s="162"/>
      <c r="Z335" s="162"/>
      <c r="AA335" s="162"/>
      <c r="AB335" s="162"/>
      <c r="AC335" s="162"/>
      <c r="AD335" s="162"/>
      <c r="AE335" s="162"/>
    </row>
    <row r="336" spans="1:31" s="924" customFormat="1">
      <c r="A336" s="162"/>
      <c r="B336" s="1764"/>
      <c r="C336" s="163"/>
      <c r="D336" s="163"/>
      <c r="E336" s="163"/>
      <c r="F336" s="163"/>
      <c r="G336" s="163"/>
      <c r="H336" s="163"/>
      <c r="I336" s="163"/>
      <c r="J336" s="163"/>
      <c r="K336" s="163"/>
      <c r="L336" s="163"/>
      <c r="M336" s="163"/>
      <c r="N336" s="163"/>
      <c r="O336" s="163"/>
      <c r="P336" s="163"/>
      <c r="Q336" s="162"/>
      <c r="R336" s="162"/>
      <c r="S336" s="162"/>
      <c r="T336" s="163"/>
      <c r="U336" s="162"/>
      <c r="V336" s="162"/>
      <c r="W336" s="162"/>
      <c r="X336" s="162"/>
      <c r="Y336" s="162"/>
      <c r="Z336" s="162"/>
      <c r="AA336" s="162"/>
      <c r="AB336" s="162"/>
      <c r="AC336" s="162"/>
      <c r="AD336" s="162"/>
      <c r="AE336" s="162"/>
    </row>
    <row r="337" spans="1:31" s="924" customFormat="1">
      <c r="A337" s="162"/>
      <c r="B337" s="1764"/>
      <c r="C337" s="163"/>
      <c r="D337" s="163"/>
      <c r="E337" s="163"/>
      <c r="F337" s="163"/>
      <c r="G337" s="163"/>
      <c r="H337" s="163"/>
      <c r="I337" s="163"/>
      <c r="J337" s="163"/>
      <c r="K337" s="163"/>
      <c r="L337" s="163"/>
      <c r="M337" s="163"/>
      <c r="N337" s="163"/>
      <c r="O337" s="163"/>
      <c r="P337" s="163"/>
      <c r="Q337" s="162"/>
      <c r="R337" s="162"/>
      <c r="S337" s="162"/>
      <c r="T337" s="163"/>
      <c r="U337" s="162"/>
      <c r="V337" s="162"/>
      <c r="W337" s="162"/>
      <c r="X337" s="162"/>
      <c r="Y337" s="162"/>
      <c r="Z337" s="162"/>
      <c r="AA337" s="162"/>
      <c r="AB337" s="162"/>
      <c r="AC337" s="162"/>
      <c r="AD337" s="162"/>
      <c r="AE337" s="162"/>
    </row>
    <row r="338" spans="1:31" s="924" customFormat="1">
      <c r="A338" s="162"/>
      <c r="B338" s="1764"/>
      <c r="C338" s="163"/>
      <c r="D338" s="163"/>
      <c r="E338" s="163"/>
      <c r="F338" s="163"/>
      <c r="G338" s="163"/>
      <c r="H338" s="163"/>
      <c r="I338" s="163"/>
      <c r="J338" s="163"/>
      <c r="K338" s="163"/>
      <c r="L338" s="163"/>
      <c r="M338" s="163"/>
      <c r="N338" s="163"/>
      <c r="O338" s="163"/>
      <c r="P338" s="163"/>
      <c r="Q338" s="162"/>
      <c r="R338" s="162"/>
      <c r="S338" s="162"/>
      <c r="T338" s="163"/>
      <c r="U338" s="162"/>
      <c r="V338" s="162"/>
      <c r="W338" s="162"/>
      <c r="X338" s="162"/>
      <c r="Y338" s="162"/>
      <c r="Z338" s="162"/>
      <c r="AA338" s="162"/>
      <c r="AB338" s="162"/>
      <c r="AC338" s="162"/>
      <c r="AD338" s="162"/>
      <c r="AE338" s="162"/>
    </row>
    <row r="339" spans="1:31" s="924" customFormat="1">
      <c r="A339" s="162"/>
      <c r="B339" s="1764"/>
      <c r="C339" s="163"/>
      <c r="D339" s="163"/>
      <c r="E339" s="163"/>
      <c r="F339" s="163"/>
      <c r="G339" s="163"/>
      <c r="H339" s="163"/>
      <c r="I339" s="163"/>
      <c r="J339" s="163"/>
      <c r="K339" s="163"/>
      <c r="L339" s="163"/>
      <c r="M339" s="163"/>
      <c r="N339" s="163"/>
      <c r="O339" s="163"/>
      <c r="P339" s="163"/>
      <c r="Q339" s="162"/>
      <c r="R339" s="162"/>
      <c r="S339" s="162"/>
      <c r="T339" s="163"/>
      <c r="U339" s="162"/>
      <c r="V339" s="162"/>
      <c r="W339" s="162"/>
      <c r="X339" s="162"/>
      <c r="Y339" s="162"/>
      <c r="Z339" s="162"/>
      <c r="AA339" s="162"/>
      <c r="AB339" s="162"/>
      <c r="AC339" s="162"/>
      <c r="AD339" s="162"/>
      <c r="AE339" s="162"/>
    </row>
    <row r="340" spans="1:31" s="924" customFormat="1">
      <c r="A340" s="162"/>
      <c r="B340" s="1764"/>
      <c r="C340" s="163"/>
      <c r="D340" s="163"/>
      <c r="E340" s="163"/>
      <c r="F340" s="163"/>
      <c r="G340" s="163"/>
      <c r="H340" s="163"/>
      <c r="I340" s="163"/>
      <c r="J340" s="163"/>
      <c r="K340" s="163"/>
      <c r="L340" s="163"/>
      <c r="M340" s="163"/>
      <c r="N340" s="163"/>
      <c r="O340" s="163"/>
      <c r="P340" s="163"/>
      <c r="Q340" s="162"/>
      <c r="R340" s="162"/>
      <c r="S340" s="162"/>
      <c r="T340" s="163"/>
      <c r="U340" s="162"/>
      <c r="V340" s="162"/>
      <c r="W340" s="162"/>
      <c r="X340" s="162"/>
      <c r="Y340" s="162"/>
      <c r="Z340" s="162"/>
      <c r="AA340" s="162"/>
      <c r="AB340" s="162"/>
      <c r="AC340" s="162"/>
      <c r="AD340" s="162"/>
      <c r="AE340" s="162"/>
    </row>
    <row r="341" spans="1:31" s="924" customFormat="1">
      <c r="A341" s="162"/>
      <c r="B341" s="1764"/>
      <c r="C341" s="163"/>
      <c r="D341" s="163"/>
      <c r="E341" s="163"/>
      <c r="F341" s="163"/>
      <c r="G341" s="163"/>
      <c r="H341" s="163"/>
      <c r="I341" s="163"/>
      <c r="J341" s="163"/>
      <c r="K341" s="163"/>
      <c r="L341" s="163"/>
      <c r="M341" s="163"/>
      <c r="N341" s="163"/>
      <c r="O341" s="163"/>
      <c r="P341" s="163"/>
      <c r="Q341" s="162"/>
      <c r="R341" s="162"/>
      <c r="S341" s="162"/>
      <c r="T341" s="163"/>
      <c r="U341" s="162"/>
      <c r="V341" s="162"/>
      <c r="W341" s="162"/>
      <c r="X341" s="162"/>
      <c r="Y341" s="162"/>
      <c r="Z341" s="162"/>
      <c r="AA341" s="162"/>
      <c r="AB341" s="162"/>
      <c r="AC341" s="162"/>
      <c r="AD341" s="162"/>
      <c r="AE341" s="162"/>
    </row>
    <row r="342" spans="1:31" s="924" customFormat="1">
      <c r="A342" s="162"/>
      <c r="B342" s="1764"/>
      <c r="C342" s="163"/>
      <c r="D342" s="163"/>
      <c r="E342" s="163"/>
      <c r="F342" s="163"/>
      <c r="G342" s="163"/>
      <c r="H342" s="163"/>
      <c r="I342" s="163"/>
      <c r="J342" s="163"/>
      <c r="K342" s="163"/>
      <c r="L342" s="163"/>
      <c r="M342" s="163"/>
      <c r="N342" s="163"/>
      <c r="O342" s="163"/>
      <c r="P342" s="163"/>
      <c r="Q342" s="162"/>
      <c r="R342" s="162"/>
      <c r="S342" s="162"/>
      <c r="T342" s="163"/>
      <c r="U342" s="162"/>
      <c r="V342" s="162"/>
      <c r="W342" s="162"/>
      <c r="X342" s="162"/>
      <c r="Y342" s="162"/>
      <c r="Z342" s="162"/>
      <c r="AA342" s="162"/>
      <c r="AB342" s="162"/>
      <c r="AC342" s="162"/>
      <c r="AD342" s="162"/>
      <c r="AE342" s="162"/>
    </row>
    <row r="343" spans="1:31" s="924" customFormat="1">
      <c r="A343" s="162"/>
      <c r="B343" s="1764"/>
      <c r="C343" s="163"/>
      <c r="D343" s="163"/>
      <c r="E343" s="163"/>
      <c r="F343" s="163"/>
      <c r="G343" s="163"/>
      <c r="H343" s="163"/>
      <c r="I343" s="163"/>
      <c r="J343" s="163"/>
      <c r="K343" s="163"/>
      <c r="L343" s="163"/>
      <c r="M343" s="163"/>
      <c r="N343" s="163"/>
      <c r="O343" s="163"/>
      <c r="P343" s="163"/>
      <c r="Q343" s="162"/>
      <c r="R343" s="162"/>
      <c r="S343" s="162"/>
      <c r="T343" s="163"/>
      <c r="U343" s="162"/>
      <c r="V343" s="162"/>
      <c r="W343" s="162"/>
      <c r="X343" s="162"/>
      <c r="Y343" s="162"/>
      <c r="Z343" s="162"/>
      <c r="AA343" s="162"/>
      <c r="AB343" s="162"/>
      <c r="AC343" s="162"/>
      <c r="AD343" s="162"/>
      <c r="AE343" s="162"/>
    </row>
    <row r="344" spans="1:31" s="924" customFormat="1">
      <c r="A344" s="162"/>
      <c r="B344" s="1764"/>
      <c r="C344" s="163"/>
      <c r="D344" s="163"/>
      <c r="E344" s="163"/>
      <c r="F344" s="163"/>
      <c r="G344" s="163"/>
      <c r="H344" s="163"/>
      <c r="I344" s="163"/>
      <c r="J344" s="163"/>
      <c r="K344" s="163"/>
      <c r="L344" s="163"/>
      <c r="M344" s="163"/>
      <c r="N344" s="163"/>
      <c r="O344" s="163"/>
      <c r="P344" s="163"/>
      <c r="Q344" s="162"/>
      <c r="R344" s="162"/>
      <c r="S344" s="162"/>
      <c r="T344" s="163"/>
      <c r="U344" s="162"/>
      <c r="V344" s="162"/>
      <c r="W344" s="162"/>
      <c r="X344" s="162"/>
      <c r="Y344" s="162"/>
      <c r="Z344" s="162"/>
      <c r="AA344" s="162"/>
      <c r="AB344" s="162"/>
      <c r="AC344" s="162"/>
      <c r="AD344" s="162"/>
      <c r="AE344" s="162"/>
    </row>
    <row r="345" spans="1:31" s="924" customFormat="1">
      <c r="A345" s="162"/>
      <c r="B345" s="1764"/>
      <c r="C345" s="163"/>
      <c r="D345" s="163"/>
      <c r="E345" s="163"/>
      <c r="F345" s="163"/>
      <c r="G345" s="163"/>
      <c r="H345" s="163"/>
      <c r="I345" s="163"/>
      <c r="J345" s="163"/>
      <c r="K345" s="163"/>
      <c r="L345" s="163"/>
      <c r="M345" s="163"/>
      <c r="N345" s="163"/>
      <c r="O345" s="163"/>
      <c r="P345" s="163"/>
      <c r="Q345" s="162"/>
      <c r="R345" s="162"/>
      <c r="S345" s="162"/>
      <c r="T345" s="163"/>
      <c r="U345" s="162"/>
      <c r="V345" s="162"/>
      <c r="W345" s="162"/>
      <c r="X345" s="162"/>
      <c r="Y345" s="162"/>
      <c r="Z345" s="162"/>
      <c r="AA345" s="162"/>
      <c r="AB345" s="162"/>
      <c r="AC345" s="162"/>
      <c r="AD345" s="162"/>
      <c r="AE345" s="162"/>
    </row>
    <row r="346" spans="1:31" s="924" customFormat="1">
      <c r="A346" s="162"/>
      <c r="B346" s="1764"/>
      <c r="C346" s="163"/>
      <c r="D346" s="163"/>
      <c r="E346" s="163"/>
      <c r="F346" s="163"/>
      <c r="G346" s="163"/>
      <c r="H346" s="163"/>
      <c r="I346" s="163"/>
      <c r="J346" s="163"/>
      <c r="K346" s="163"/>
      <c r="L346" s="163"/>
      <c r="M346" s="163"/>
      <c r="N346" s="163"/>
      <c r="O346" s="163"/>
      <c r="P346" s="163"/>
      <c r="Q346" s="162"/>
      <c r="R346" s="162"/>
      <c r="S346" s="162"/>
      <c r="T346" s="163"/>
      <c r="U346" s="162"/>
      <c r="V346" s="162"/>
      <c r="W346" s="162"/>
      <c r="X346" s="162"/>
      <c r="Y346" s="162"/>
      <c r="Z346" s="162"/>
      <c r="AA346" s="162"/>
      <c r="AB346" s="162"/>
      <c r="AC346" s="162"/>
      <c r="AD346" s="162"/>
      <c r="AE346" s="162"/>
    </row>
    <row r="347" spans="1:31" s="924" customFormat="1">
      <c r="A347" s="162"/>
      <c r="B347" s="1764"/>
      <c r="C347" s="163"/>
      <c r="D347" s="163"/>
      <c r="E347" s="163"/>
      <c r="F347" s="163"/>
      <c r="G347" s="163"/>
      <c r="H347" s="163"/>
      <c r="I347" s="163"/>
      <c r="J347" s="163"/>
      <c r="K347" s="163"/>
      <c r="L347" s="163"/>
      <c r="M347" s="163"/>
      <c r="N347" s="163"/>
      <c r="O347" s="163"/>
      <c r="P347" s="163"/>
      <c r="Q347" s="162"/>
      <c r="R347" s="162"/>
      <c r="S347" s="162"/>
      <c r="T347" s="163"/>
      <c r="U347" s="162"/>
      <c r="V347" s="162"/>
      <c r="W347" s="162"/>
      <c r="X347" s="162"/>
      <c r="Y347" s="162"/>
      <c r="Z347" s="162"/>
      <c r="AA347" s="162"/>
      <c r="AB347" s="162"/>
      <c r="AC347" s="162"/>
      <c r="AD347" s="162"/>
      <c r="AE347" s="162"/>
    </row>
    <row r="348" spans="1:31" s="924" customFormat="1">
      <c r="A348" s="162"/>
      <c r="B348" s="1764"/>
      <c r="C348" s="163"/>
      <c r="D348" s="163"/>
      <c r="E348" s="163"/>
      <c r="F348" s="163"/>
      <c r="G348" s="163"/>
      <c r="H348" s="163"/>
      <c r="I348" s="163"/>
      <c r="J348" s="163"/>
      <c r="K348" s="163"/>
      <c r="L348" s="163"/>
      <c r="M348" s="163"/>
      <c r="N348" s="163"/>
      <c r="O348" s="163"/>
      <c r="P348" s="163"/>
      <c r="Q348" s="162"/>
      <c r="R348" s="162"/>
      <c r="S348" s="162"/>
      <c r="T348" s="163"/>
      <c r="U348" s="162"/>
      <c r="V348" s="162"/>
      <c r="W348" s="162"/>
      <c r="X348" s="162"/>
      <c r="Y348" s="162"/>
      <c r="Z348" s="162"/>
      <c r="AA348" s="162"/>
      <c r="AB348" s="162"/>
      <c r="AC348" s="162"/>
      <c r="AD348" s="162"/>
      <c r="AE348" s="162"/>
    </row>
    <row r="349" spans="1:31" s="924" customFormat="1">
      <c r="A349" s="162"/>
      <c r="B349" s="1764"/>
      <c r="C349" s="163"/>
      <c r="D349" s="163"/>
      <c r="E349" s="163"/>
      <c r="F349" s="163"/>
      <c r="G349" s="163"/>
      <c r="H349" s="163"/>
      <c r="I349" s="163"/>
      <c r="J349" s="163"/>
      <c r="K349" s="163"/>
      <c r="L349" s="163"/>
      <c r="M349" s="163"/>
      <c r="N349" s="163"/>
      <c r="O349" s="163"/>
      <c r="P349" s="163"/>
      <c r="Q349" s="162"/>
      <c r="R349" s="162"/>
      <c r="S349" s="162"/>
      <c r="T349" s="163"/>
      <c r="U349" s="162"/>
      <c r="V349" s="162"/>
      <c r="W349" s="162"/>
      <c r="X349" s="162"/>
      <c r="Y349" s="162"/>
      <c r="Z349" s="162"/>
      <c r="AA349" s="162"/>
      <c r="AB349" s="162"/>
      <c r="AC349" s="162"/>
      <c r="AD349" s="162"/>
      <c r="AE349" s="162"/>
    </row>
    <row r="350" spans="1:31" s="924" customFormat="1">
      <c r="A350" s="162"/>
      <c r="B350" s="1764"/>
      <c r="C350" s="163"/>
      <c r="D350" s="163"/>
      <c r="E350" s="163"/>
      <c r="F350" s="163"/>
      <c r="G350" s="163"/>
      <c r="H350" s="163"/>
      <c r="I350" s="163"/>
      <c r="J350" s="163"/>
      <c r="K350" s="163"/>
      <c r="L350" s="163"/>
      <c r="M350" s="163"/>
      <c r="N350" s="163"/>
      <c r="O350" s="163"/>
      <c r="P350" s="163"/>
      <c r="Q350" s="162"/>
      <c r="R350" s="162"/>
      <c r="S350" s="162"/>
      <c r="T350" s="163"/>
      <c r="U350" s="162"/>
      <c r="V350" s="162"/>
      <c r="W350" s="162"/>
      <c r="X350" s="162"/>
      <c r="Y350" s="162"/>
      <c r="Z350" s="162"/>
      <c r="AA350" s="162"/>
      <c r="AB350" s="162"/>
      <c r="AC350" s="162"/>
      <c r="AD350" s="162"/>
      <c r="AE350" s="162"/>
    </row>
    <row r="351" spans="1:31" s="924" customFormat="1">
      <c r="A351" s="162"/>
      <c r="B351" s="1764"/>
      <c r="C351" s="163"/>
      <c r="D351" s="163"/>
      <c r="E351" s="163"/>
      <c r="F351" s="163"/>
      <c r="G351" s="163"/>
      <c r="H351" s="163"/>
      <c r="I351" s="163"/>
      <c r="J351" s="163"/>
      <c r="K351" s="163"/>
      <c r="L351" s="163"/>
      <c r="M351" s="163"/>
      <c r="N351" s="163"/>
      <c r="O351" s="163"/>
      <c r="P351" s="163"/>
      <c r="Q351" s="162"/>
      <c r="R351" s="162"/>
      <c r="S351" s="162"/>
      <c r="T351" s="163"/>
      <c r="U351" s="162"/>
      <c r="V351" s="162"/>
      <c r="W351" s="162"/>
      <c r="X351" s="162"/>
      <c r="Y351" s="162"/>
      <c r="Z351" s="162"/>
      <c r="AA351" s="162"/>
      <c r="AB351" s="162"/>
      <c r="AC351" s="162"/>
      <c r="AD351" s="162"/>
      <c r="AE351" s="162"/>
    </row>
    <row r="352" spans="1:31" s="924" customFormat="1">
      <c r="A352" s="162"/>
      <c r="B352" s="1764"/>
      <c r="C352" s="163"/>
      <c r="D352" s="163"/>
      <c r="E352" s="163"/>
      <c r="F352" s="163"/>
      <c r="G352" s="163"/>
      <c r="H352" s="163"/>
      <c r="I352" s="163"/>
      <c r="J352" s="163"/>
      <c r="K352" s="163"/>
      <c r="L352" s="163"/>
      <c r="M352" s="163"/>
      <c r="N352" s="163"/>
      <c r="O352" s="163"/>
      <c r="P352" s="163"/>
      <c r="Q352" s="162"/>
      <c r="R352" s="162"/>
      <c r="S352" s="162"/>
      <c r="T352" s="163"/>
      <c r="U352" s="162"/>
      <c r="V352" s="162"/>
      <c r="W352" s="162"/>
      <c r="X352" s="162"/>
      <c r="Y352" s="162"/>
      <c r="Z352" s="162"/>
      <c r="AA352" s="162"/>
      <c r="AB352" s="162"/>
      <c r="AC352" s="162"/>
      <c r="AD352" s="162"/>
      <c r="AE352" s="162"/>
    </row>
    <row r="353" spans="1:31" s="924" customFormat="1">
      <c r="A353" s="162"/>
      <c r="B353" s="1764"/>
      <c r="C353" s="163"/>
      <c r="D353" s="163"/>
      <c r="E353" s="163"/>
      <c r="F353" s="163"/>
      <c r="G353" s="163"/>
      <c r="H353" s="163"/>
      <c r="I353" s="163"/>
      <c r="J353" s="163"/>
      <c r="K353" s="163"/>
      <c r="L353" s="163"/>
      <c r="M353" s="163"/>
      <c r="N353" s="163"/>
      <c r="O353" s="163"/>
      <c r="P353" s="163"/>
      <c r="Q353" s="162"/>
      <c r="R353" s="162"/>
      <c r="S353" s="162"/>
      <c r="T353" s="163"/>
      <c r="U353" s="162"/>
      <c r="V353" s="162"/>
      <c r="W353" s="162"/>
      <c r="X353" s="162"/>
      <c r="Y353" s="162"/>
      <c r="Z353" s="162"/>
      <c r="AA353" s="162"/>
      <c r="AB353" s="162"/>
      <c r="AC353" s="162"/>
      <c r="AD353" s="162"/>
      <c r="AE353" s="162"/>
    </row>
    <row r="354" spans="1:31" s="924" customFormat="1">
      <c r="A354" s="162"/>
      <c r="B354" s="1764"/>
      <c r="C354" s="163"/>
      <c r="D354" s="163"/>
      <c r="E354" s="163"/>
      <c r="F354" s="163"/>
      <c r="G354" s="163"/>
      <c r="H354" s="163"/>
      <c r="I354" s="163"/>
      <c r="J354" s="163"/>
      <c r="K354" s="163"/>
      <c r="L354" s="163"/>
      <c r="M354" s="163"/>
      <c r="N354" s="163"/>
      <c r="O354" s="163"/>
      <c r="P354" s="163"/>
      <c r="Q354" s="162"/>
      <c r="R354" s="162"/>
      <c r="S354" s="162"/>
      <c r="T354" s="163"/>
      <c r="U354" s="162"/>
      <c r="V354" s="162"/>
      <c r="W354" s="162"/>
      <c r="X354" s="162"/>
      <c r="Y354" s="162"/>
      <c r="Z354" s="162"/>
      <c r="AA354" s="162"/>
      <c r="AB354" s="162"/>
      <c r="AC354" s="162"/>
      <c r="AD354" s="162"/>
      <c r="AE354" s="162"/>
    </row>
    <row r="355" spans="1:31" s="924" customFormat="1">
      <c r="A355" s="162"/>
      <c r="B355" s="1764"/>
      <c r="C355" s="163"/>
      <c r="D355" s="163"/>
      <c r="E355" s="163"/>
      <c r="F355" s="163"/>
      <c r="G355" s="163"/>
      <c r="H355" s="163"/>
      <c r="I355" s="163"/>
      <c r="J355" s="163"/>
      <c r="K355" s="163"/>
      <c r="L355" s="163"/>
      <c r="M355" s="163"/>
      <c r="N355" s="163"/>
      <c r="O355" s="163"/>
      <c r="P355" s="163"/>
      <c r="Q355" s="162"/>
      <c r="R355" s="162"/>
      <c r="S355" s="162"/>
      <c r="T355" s="163"/>
      <c r="U355" s="162"/>
      <c r="V355" s="162"/>
      <c r="W355" s="162"/>
      <c r="X355" s="162"/>
      <c r="Y355" s="162"/>
      <c r="Z355" s="162"/>
      <c r="AA355" s="162"/>
      <c r="AB355" s="162"/>
      <c r="AC355" s="162"/>
      <c r="AD355" s="162"/>
      <c r="AE355" s="162"/>
    </row>
    <row r="356" spans="1:31" s="924" customFormat="1">
      <c r="A356" s="162"/>
      <c r="B356" s="1764"/>
      <c r="C356" s="163"/>
      <c r="D356" s="163"/>
      <c r="E356" s="163"/>
      <c r="F356" s="163"/>
      <c r="G356" s="163"/>
      <c r="H356" s="163"/>
      <c r="I356" s="163"/>
      <c r="J356" s="163"/>
      <c r="K356" s="163"/>
      <c r="L356" s="163"/>
      <c r="M356" s="163"/>
      <c r="N356" s="163"/>
      <c r="O356" s="163"/>
      <c r="P356" s="163"/>
      <c r="Q356" s="162"/>
      <c r="R356" s="162"/>
      <c r="S356" s="162"/>
      <c r="T356" s="163"/>
      <c r="U356" s="162"/>
      <c r="V356" s="162"/>
      <c r="W356" s="162"/>
      <c r="X356" s="162"/>
      <c r="Y356" s="162"/>
      <c r="Z356" s="162"/>
      <c r="AA356" s="162"/>
      <c r="AB356" s="162"/>
      <c r="AC356" s="162"/>
      <c r="AD356" s="162"/>
      <c r="AE356" s="162"/>
    </row>
    <row r="357" spans="1:31" s="924" customFormat="1">
      <c r="A357" s="162"/>
      <c r="B357" s="1764"/>
      <c r="C357" s="163"/>
      <c r="D357" s="163"/>
      <c r="E357" s="163"/>
      <c r="F357" s="163"/>
      <c r="G357" s="163"/>
      <c r="H357" s="163"/>
      <c r="I357" s="163"/>
      <c r="J357" s="163"/>
      <c r="K357" s="163"/>
      <c r="L357" s="163"/>
      <c r="M357" s="163"/>
      <c r="N357" s="163"/>
      <c r="O357" s="163"/>
      <c r="P357" s="163"/>
      <c r="Q357" s="162"/>
      <c r="R357" s="162"/>
      <c r="S357" s="162"/>
      <c r="T357" s="163"/>
      <c r="U357" s="162"/>
      <c r="V357" s="162"/>
      <c r="W357" s="162"/>
      <c r="X357" s="162"/>
      <c r="Y357" s="162"/>
      <c r="Z357" s="162"/>
      <c r="AA357" s="162"/>
      <c r="AB357" s="162"/>
      <c r="AC357" s="162"/>
      <c r="AD357" s="162"/>
      <c r="AE357" s="162"/>
    </row>
    <row r="358" spans="1:31" s="924" customFormat="1">
      <c r="A358" s="162"/>
      <c r="B358" s="1764"/>
      <c r="C358" s="163"/>
      <c r="D358" s="163"/>
      <c r="E358" s="163"/>
      <c r="F358" s="163"/>
      <c r="G358" s="163"/>
      <c r="H358" s="163"/>
      <c r="I358" s="163"/>
      <c r="J358" s="163"/>
      <c r="K358" s="163"/>
      <c r="L358" s="163"/>
      <c r="M358" s="163"/>
      <c r="N358" s="163"/>
      <c r="O358" s="163"/>
      <c r="P358" s="163"/>
      <c r="Q358" s="162"/>
      <c r="R358" s="162"/>
      <c r="S358" s="162"/>
      <c r="T358" s="163"/>
      <c r="U358" s="162"/>
      <c r="V358" s="162"/>
      <c r="W358" s="162"/>
      <c r="X358" s="162"/>
      <c r="Y358" s="162"/>
      <c r="Z358" s="162"/>
      <c r="AA358" s="162"/>
      <c r="AB358" s="162"/>
      <c r="AC358" s="162"/>
      <c r="AD358" s="162"/>
      <c r="AE358" s="162"/>
    </row>
    <row r="359" spans="1:31" s="924" customFormat="1">
      <c r="A359" s="162"/>
      <c r="B359" s="1764"/>
      <c r="C359" s="163"/>
      <c r="D359" s="163"/>
      <c r="E359" s="163"/>
      <c r="F359" s="163"/>
      <c r="G359" s="163"/>
      <c r="H359" s="163"/>
      <c r="I359" s="163"/>
      <c r="J359" s="163"/>
      <c r="K359" s="163"/>
      <c r="L359" s="163"/>
      <c r="M359" s="163"/>
      <c r="N359" s="163"/>
      <c r="O359" s="163"/>
      <c r="P359" s="163"/>
      <c r="Q359" s="162"/>
      <c r="R359" s="162"/>
      <c r="S359" s="162"/>
      <c r="T359" s="163"/>
      <c r="U359" s="162"/>
      <c r="V359" s="162"/>
      <c r="W359" s="162"/>
      <c r="X359" s="162"/>
      <c r="Y359" s="162"/>
      <c r="Z359" s="162"/>
      <c r="AA359" s="162"/>
      <c r="AB359" s="162"/>
      <c r="AC359" s="162"/>
      <c r="AD359" s="162"/>
      <c r="AE359" s="162"/>
    </row>
    <row r="360" spans="1:31" s="924" customFormat="1">
      <c r="A360" s="162"/>
      <c r="B360" s="1764"/>
      <c r="C360" s="163"/>
      <c r="D360" s="163"/>
      <c r="E360" s="163"/>
      <c r="F360" s="163"/>
      <c r="G360" s="163"/>
      <c r="H360" s="163"/>
      <c r="I360" s="163"/>
      <c r="J360" s="163"/>
      <c r="K360" s="163"/>
      <c r="L360" s="163"/>
      <c r="M360" s="163"/>
      <c r="N360" s="163"/>
      <c r="O360" s="163"/>
      <c r="P360" s="163"/>
      <c r="Q360" s="162"/>
      <c r="R360" s="162"/>
      <c r="S360" s="162"/>
      <c r="T360" s="163"/>
      <c r="U360" s="162"/>
      <c r="V360" s="162"/>
      <c r="W360" s="162"/>
      <c r="X360" s="162"/>
      <c r="Y360" s="162"/>
      <c r="Z360" s="162"/>
      <c r="AA360" s="162"/>
      <c r="AB360" s="162"/>
      <c r="AC360" s="162"/>
      <c r="AD360" s="162"/>
      <c r="AE360" s="162"/>
    </row>
    <row r="361" spans="1:31" s="924" customFormat="1">
      <c r="A361" s="162"/>
      <c r="B361" s="1764"/>
      <c r="C361" s="163"/>
      <c r="D361" s="163"/>
      <c r="E361" s="163"/>
      <c r="F361" s="163"/>
      <c r="G361" s="163"/>
      <c r="H361" s="163"/>
      <c r="I361" s="163"/>
      <c r="J361" s="163"/>
      <c r="K361" s="163"/>
      <c r="L361" s="163"/>
      <c r="M361" s="163"/>
      <c r="N361" s="163"/>
      <c r="O361" s="163"/>
      <c r="P361" s="163"/>
      <c r="Q361" s="162"/>
      <c r="R361" s="162"/>
      <c r="S361" s="162"/>
      <c r="T361" s="163"/>
      <c r="U361" s="162"/>
      <c r="V361" s="162"/>
      <c r="W361" s="162"/>
      <c r="X361" s="162"/>
      <c r="Y361" s="162"/>
      <c r="Z361" s="162"/>
      <c r="AA361" s="162"/>
      <c r="AB361" s="162"/>
      <c r="AC361" s="162"/>
      <c r="AD361" s="162"/>
      <c r="AE361" s="162"/>
    </row>
    <row r="362" spans="1:31" s="924" customFormat="1">
      <c r="A362" s="162"/>
      <c r="B362" s="1764"/>
      <c r="C362" s="163"/>
      <c r="D362" s="163"/>
      <c r="E362" s="163"/>
      <c r="F362" s="163"/>
      <c r="G362" s="163"/>
      <c r="H362" s="163"/>
      <c r="I362" s="163"/>
      <c r="J362" s="163"/>
      <c r="K362" s="163"/>
      <c r="L362" s="163"/>
      <c r="M362" s="163"/>
      <c r="N362" s="163"/>
      <c r="O362" s="163"/>
      <c r="P362" s="163"/>
      <c r="Q362" s="162"/>
      <c r="R362" s="162"/>
      <c r="S362" s="162"/>
      <c r="T362" s="163"/>
      <c r="U362" s="162"/>
      <c r="V362" s="162"/>
      <c r="W362" s="162"/>
      <c r="X362" s="162"/>
      <c r="Y362" s="162"/>
      <c r="Z362" s="162"/>
      <c r="AA362" s="162"/>
      <c r="AB362" s="162"/>
      <c r="AC362" s="162"/>
      <c r="AD362" s="162"/>
      <c r="AE362" s="162"/>
    </row>
    <row r="363" spans="1:31" s="924" customFormat="1">
      <c r="A363" s="162"/>
      <c r="B363" s="1764"/>
      <c r="C363" s="163"/>
      <c r="D363" s="163"/>
      <c r="E363" s="163"/>
      <c r="F363" s="163"/>
      <c r="G363" s="163"/>
      <c r="H363" s="163"/>
      <c r="I363" s="163"/>
      <c r="J363" s="163"/>
      <c r="K363" s="163"/>
      <c r="L363" s="163"/>
      <c r="M363" s="163"/>
      <c r="N363" s="163"/>
      <c r="O363" s="163"/>
      <c r="P363" s="163"/>
      <c r="Q363" s="162"/>
      <c r="R363" s="162"/>
      <c r="S363" s="162"/>
      <c r="T363" s="163"/>
      <c r="U363" s="162"/>
      <c r="V363" s="162"/>
      <c r="W363" s="162"/>
      <c r="X363" s="162"/>
      <c r="Y363" s="162"/>
      <c r="Z363" s="162"/>
      <c r="AA363" s="162"/>
      <c r="AB363" s="162"/>
      <c r="AC363" s="162"/>
      <c r="AD363" s="162"/>
      <c r="AE363" s="162"/>
    </row>
    <row r="364" spans="1:31" s="924" customFormat="1">
      <c r="A364" s="162"/>
      <c r="B364" s="1764"/>
      <c r="C364" s="163"/>
      <c r="D364" s="163"/>
      <c r="E364" s="163"/>
      <c r="F364" s="163"/>
      <c r="G364" s="163"/>
      <c r="H364" s="163"/>
      <c r="I364" s="163"/>
      <c r="J364" s="163"/>
      <c r="K364" s="163"/>
      <c r="L364" s="163"/>
      <c r="M364" s="163"/>
      <c r="N364" s="163"/>
      <c r="O364" s="163"/>
      <c r="P364" s="163"/>
      <c r="Q364" s="162"/>
      <c r="R364" s="162"/>
      <c r="S364" s="162"/>
      <c r="T364" s="163"/>
      <c r="U364" s="162"/>
      <c r="V364" s="162"/>
      <c r="W364" s="162"/>
      <c r="X364" s="162"/>
      <c r="Y364" s="162"/>
      <c r="Z364" s="162"/>
      <c r="AA364" s="162"/>
      <c r="AB364" s="162"/>
      <c r="AC364" s="162"/>
      <c r="AD364" s="162"/>
      <c r="AE364" s="162"/>
    </row>
    <row r="365" spans="1:31" s="924" customFormat="1">
      <c r="A365" s="162"/>
      <c r="B365" s="1764"/>
      <c r="C365" s="163"/>
      <c r="D365" s="163"/>
      <c r="E365" s="163"/>
      <c r="F365" s="163"/>
      <c r="G365" s="163"/>
      <c r="H365" s="163"/>
      <c r="I365" s="163"/>
      <c r="J365" s="163"/>
      <c r="K365" s="163"/>
      <c r="L365" s="163"/>
      <c r="M365" s="163"/>
      <c r="N365" s="163"/>
      <c r="O365" s="163"/>
      <c r="P365" s="163"/>
      <c r="Q365" s="162"/>
      <c r="R365" s="162"/>
      <c r="S365" s="162"/>
      <c r="T365" s="163"/>
      <c r="U365" s="162"/>
      <c r="V365" s="162"/>
      <c r="W365" s="162"/>
      <c r="X365" s="162"/>
      <c r="Y365" s="162"/>
      <c r="Z365" s="162"/>
      <c r="AA365" s="162"/>
      <c r="AB365" s="162"/>
      <c r="AC365" s="162"/>
      <c r="AD365" s="162"/>
      <c r="AE365" s="162"/>
    </row>
    <row r="366" spans="1:31" s="924" customFormat="1">
      <c r="A366" s="162"/>
      <c r="B366" s="1764"/>
      <c r="C366" s="163"/>
      <c r="D366" s="163"/>
      <c r="E366" s="163"/>
      <c r="F366" s="163"/>
      <c r="G366" s="163"/>
      <c r="H366" s="163"/>
      <c r="I366" s="163"/>
      <c r="J366" s="163"/>
      <c r="K366" s="163"/>
      <c r="L366" s="163"/>
      <c r="M366" s="163"/>
      <c r="N366" s="163"/>
      <c r="O366" s="163"/>
      <c r="P366" s="163"/>
      <c r="Q366" s="162"/>
      <c r="R366" s="162"/>
      <c r="S366" s="162"/>
      <c r="T366" s="163"/>
      <c r="U366" s="162"/>
      <c r="V366" s="162"/>
      <c r="W366" s="162"/>
      <c r="X366" s="162"/>
      <c r="Y366" s="162"/>
      <c r="Z366" s="162"/>
      <c r="AA366" s="162"/>
      <c r="AB366" s="162"/>
      <c r="AC366" s="162"/>
      <c r="AD366" s="162"/>
      <c r="AE366" s="162"/>
    </row>
    <row r="367" spans="1:31" s="924" customFormat="1">
      <c r="A367" s="162"/>
      <c r="B367" s="1764"/>
      <c r="C367" s="163"/>
      <c r="D367" s="163"/>
      <c r="E367" s="163"/>
      <c r="F367" s="163"/>
      <c r="G367" s="163"/>
      <c r="H367" s="163"/>
      <c r="I367" s="163"/>
      <c r="J367" s="163"/>
      <c r="K367" s="163"/>
      <c r="L367" s="163"/>
      <c r="M367" s="163"/>
      <c r="N367" s="163"/>
      <c r="O367" s="163"/>
      <c r="P367" s="163"/>
      <c r="Q367" s="162"/>
      <c r="R367" s="162"/>
      <c r="S367" s="162"/>
      <c r="T367" s="163"/>
      <c r="U367" s="162"/>
      <c r="V367" s="162"/>
      <c r="W367" s="162"/>
      <c r="X367" s="162"/>
      <c r="Y367" s="162"/>
      <c r="Z367" s="162"/>
      <c r="AA367" s="162"/>
      <c r="AB367" s="162"/>
      <c r="AC367" s="162"/>
      <c r="AD367" s="162"/>
      <c r="AE367" s="162"/>
    </row>
    <row r="368" spans="1:31" s="924" customFormat="1">
      <c r="A368" s="162"/>
      <c r="B368" s="1764"/>
      <c r="C368" s="163"/>
      <c r="D368" s="163"/>
      <c r="E368" s="163"/>
      <c r="F368" s="163"/>
      <c r="G368" s="163"/>
      <c r="H368" s="163"/>
      <c r="I368" s="163"/>
      <c r="J368" s="163"/>
      <c r="K368" s="163"/>
      <c r="L368" s="163"/>
      <c r="M368" s="163"/>
      <c r="N368" s="163"/>
      <c r="O368" s="163"/>
      <c r="P368" s="163"/>
      <c r="Q368" s="162"/>
      <c r="R368" s="162"/>
      <c r="S368" s="162"/>
      <c r="T368" s="163"/>
      <c r="U368" s="162"/>
      <c r="V368" s="162"/>
      <c r="W368" s="162"/>
      <c r="X368" s="162"/>
      <c r="Y368" s="162"/>
      <c r="Z368" s="162"/>
      <c r="AA368" s="162"/>
      <c r="AB368" s="162"/>
      <c r="AC368" s="162"/>
      <c r="AD368" s="162"/>
      <c r="AE368" s="162"/>
    </row>
    <row r="369" spans="1:31" s="924" customFormat="1">
      <c r="A369" s="162"/>
      <c r="B369" s="1764"/>
      <c r="C369" s="163"/>
      <c r="D369" s="163"/>
      <c r="E369" s="163"/>
      <c r="F369" s="163"/>
      <c r="G369" s="163"/>
      <c r="H369" s="163"/>
      <c r="I369" s="163"/>
      <c r="J369" s="163"/>
      <c r="K369" s="163"/>
      <c r="L369" s="163"/>
      <c r="M369" s="163"/>
      <c r="N369" s="163"/>
      <c r="O369" s="163"/>
      <c r="P369" s="163"/>
      <c r="Q369" s="162"/>
      <c r="R369" s="162"/>
      <c r="S369" s="162"/>
      <c r="T369" s="163"/>
      <c r="U369" s="162"/>
      <c r="V369" s="162"/>
      <c r="W369" s="162"/>
      <c r="X369" s="162"/>
      <c r="Y369" s="162"/>
      <c r="Z369" s="162"/>
      <c r="AA369" s="162"/>
      <c r="AB369" s="162"/>
      <c r="AC369" s="162"/>
      <c r="AD369" s="162"/>
      <c r="AE369" s="162"/>
    </row>
    <row r="370" spans="1:31" s="924" customFormat="1">
      <c r="A370" s="162"/>
      <c r="B370" s="1764"/>
      <c r="C370" s="163"/>
      <c r="D370" s="163"/>
      <c r="E370" s="163"/>
      <c r="F370" s="163"/>
      <c r="G370" s="163"/>
      <c r="H370" s="163"/>
      <c r="I370" s="163"/>
      <c r="J370" s="163"/>
      <c r="K370" s="163"/>
      <c r="L370" s="163"/>
      <c r="M370" s="163"/>
      <c r="N370" s="163"/>
      <c r="O370" s="163"/>
      <c r="P370" s="163"/>
      <c r="Q370" s="162"/>
      <c r="R370" s="162"/>
      <c r="S370" s="162"/>
      <c r="T370" s="163"/>
      <c r="U370" s="162"/>
      <c r="V370" s="162"/>
      <c r="W370" s="162"/>
      <c r="X370" s="162"/>
      <c r="Y370" s="162"/>
      <c r="Z370" s="162"/>
      <c r="AA370" s="162"/>
      <c r="AB370" s="162"/>
      <c r="AC370" s="162"/>
      <c r="AD370" s="162"/>
      <c r="AE370" s="162"/>
    </row>
    <row r="371" spans="1:31" s="924" customFormat="1">
      <c r="A371" s="162"/>
      <c r="B371" s="1764"/>
      <c r="C371" s="163"/>
      <c r="D371" s="163"/>
      <c r="E371" s="163"/>
      <c r="F371" s="163"/>
      <c r="G371" s="163"/>
      <c r="H371" s="163"/>
      <c r="I371" s="163"/>
      <c r="J371" s="163"/>
      <c r="K371" s="163"/>
      <c r="L371" s="163"/>
      <c r="M371" s="163"/>
      <c r="N371" s="163"/>
      <c r="O371" s="163"/>
      <c r="P371" s="163"/>
      <c r="Q371" s="162"/>
      <c r="R371" s="162"/>
      <c r="S371" s="162"/>
      <c r="T371" s="163"/>
      <c r="U371" s="162"/>
      <c r="V371" s="162"/>
      <c r="W371" s="162"/>
      <c r="X371" s="162"/>
      <c r="Y371" s="162"/>
      <c r="Z371" s="162"/>
      <c r="AA371" s="162"/>
      <c r="AB371" s="162"/>
      <c r="AC371" s="162"/>
      <c r="AD371" s="162"/>
      <c r="AE371" s="162"/>
    </row>
    <row r="372" spans="1:31" s="924" customFormat="1">
      <c r="A372" s="162"/>
      <c r="B372" s="1764"/>
      <c r="C372" s="163"/>
      <c r="D372" s="163"/>
      <c r="E372" s="163"/>
      <c r="F372" s="163"/>
      <c r="G372" s="163"/>
      <c r="H372" s="163"/>
      <c r="I372" s="163"/>
      <c r="J372" s="163"/>
      <c r="K372" s="163"/>
      <c r="L372" s="163"/>
      <c r="M372" s="163"/>
      <c r="N372" s="163"/>
      <c r="O372" s="163"/>
      <c r="P372" s="163"/>
      <c r="Q372" s="162"/>
      <c r="R372" s="162"/>
      <c r="S372" s="162"/>
      <c r="T372" s="163"/>
      <c r="U372" s="162"/>
      <c r="V372" s="162"/>
      <c r="W372" s="162"/>
      <c r="X372" s="162"/>
      <c r="Y372" s="162"/>
      <c r="Z372" s="162"/>
      <c r="AA372" s="162"/>
      <c r="AB372" s="162"/>
      <c r="AC372" s="162"/>
      <c r="AD372" s="162"/>
      <c r="AE372" s="162"/>
    </row>
    <row r="373" spans="1:31" s="924" customFormat="1">
      <c r="A373" s="162"/>
      <c r="B373" s="1764"/>
      <c r="C373" s="163"/>
      <c r="D373" s="163"/>
      <c r="E373" s="163"/>
      <c r="F373" s="163"/>
      <c r="G373" s="163"/>
      <c r="H373" s="163"/>
      <c r="I373" s="163"/>
      <c r="J373" s="163"/>
      <c r="K373" s="163"/>
      <c r="L373" s="163"/>
      <c r="M373" s="163"/>
      <c r="N373" s="163"/>
      <c r="O373" s="163"/>
      <c r="P373" s="163"/>
      <c r="Q373" s="162"/>
      <c r="R373" s="162"/>
      <c r="S373" s="162"/>
      <c r="T373" s="163"/>
      <c r="U373" s="162"/>
      <c r="V373" s="162"/>
      <c r="W373" s="162"/>
      <c r="X373" s="162"/>
      <c r="Y373" s="162"/>
      <c r="Z373" s="162"/>
      <c r="AA373" s="162"/>
      <c r="AB373" s="162"/>
      <c r="AC373" s="162"/>
      <c r="AD373" s="162"/>
      <c r="AE373" s="162"/>
    </row>
    <row r="374" spans="1:31" s="924" customFormat="1">
      <c r="A374" s="162"/>
      <c r="B374" s="1764"/>
      <c r="C374" s="163"/>
      <c r="D374" s="163"/>
      <c r="E374" s="163"/>
      <c r="F374" s="163"/>
      <c r="G374" s="163"/>
      <c r="H374" s="163"/>
      <c r="I374" s="163"/>
      <c r="J374" s="163"/>
      <c r="K374" s="163"/>
      <c r="L374" s="163"/>
      <c r="M374" s="163"/>
      <c r="N374" s="163"/>
      <c r="O374" s="163"/>
      <c r="P374" s="163"/>
      <c r="Q374" s="162"/>
      <c r="R374" s="162"/>
      <c r="S374" s="162"/>
      <c r="T374" s="163"/>
      <c r="U374" s="162"/>
      <c r="V374" s="162"/>
      <c r="W374" s="162"/>
      <c r="X374" s="162"/>
      <c r="Y374" s="162"/>
      <c r="Z374" s="162"/>
      <c r="AA374" s="162"/>
      <c r="AB374" s="162"/>
      <c r="AC374" s="162"/>
      <c r="AD374" s="162"/>
      <c r="AE374" s="162"/>
    </row>
    <row r="375" spans="1:31" s="924" customFormat="1">
      <c r="A375" s="162"/>
      <c r="B375" s="1764"/>
      <c r="C375" s="163"/>
      <c r="D375" s="163"/>
      <c r="E375" s="163"/>
      <c r="F375" s="163"/>
      <c r="G375" s="163"/>
      <c r="H375" s="163"/>
      <c r="I375" s="163"/>
      <c r="J375" s="163"/>
      <c r="K375" s="163"/>
      <c r="L375" s="163"/>
      <c r="M375" s="163"/>
      <c r="N375" s="163"/>
      <c r="O375" s="163"/>
      <c r="P375" s="163"/>
      <c r="Q375" s="162"/>
      <c r="R375" s="162"/>
      <c r="S375" s="162"/>
      <c r="T375" s="163"/>
      <c r="U375" s="162"/>
      <c r="V375" s="162"/>
      <c r="W375" s="162"/>
      <c r="X375" s="162"/>
      <c r="Y375" s="162"/>
      <c r="Z375" s="162"/>
      <c r="AA375" s="162"/>
      <c r="AB375" s="162"/>
      <c r="AC375" s="162"/>
      <c r="AD375" s="162"/>
      <c r="AE375" s="162"/>
    </row>
    <row r="376" spans="1:31" s="924" customFormat="1">
      <c r="A376" s="162"/>
      <c r="B376" s="1764"/>
      <c r="C376" s="163"/>
      <c r="D376" s="163"/>
      <c r="E376" s="163"/>
      <c r="F376" s="163"/>
      <c r="G376" s="163"/>
      <c r="H376" s="163"/>
      <c r="I376" s="163"/>
      <c r="J376" s="163"/>
      <c r="K376" s="163"/>
      <c r="L376" s="163"/>
      <c r="M376" s="163"/>
      <c r="N376" s="163"/>
      <c r="O376" s="163"/>
      <c r="P376" s="163"/>
      <c r="Q376" s="162"/>
      <c r="R376" s="162"/>
      <c r="S376" s="162"/>
      <c r="T376" s="163"/>
      <c r="U376" s="162"/>
      <c r="V376" s="162"/>
      <c r="W376" s="162"/>
      <c r="X376" s="162"/>
      <c r="Y376" s="162"/>
      <c r="Z376" s="162"/>
      <c r="AA376" s="162"/>
      <c r="AB376" s="162"/>
      <c r="AC376" s="162"/>
      <c r="AD376" s="162"/>
      <c r="AE376" s="162"/>
    </row>
    <row r="377" spans="1:31" s="924" customFormat="1">
      <c r="A377" s="162"/>
      <c r="B377" s="1764"/>
      <c r="C377" s="163"/>
      <c r="D377" s="163"/>
      <c r="E377" s="163"/>
      <c r="F377" s="163"/>
      <c r="G377" s="163"/>
      <c r="H377" s="163"/>
      <c r="I377" s="163"/>
      <c r="J377" s="163"/>
      <c r="K377" s="163"/>
      <c r="L377" s="163"/>
      <c r="M377" s="163"/>
      <c r="N377" s="163"/>
      <c r="O377" s="163"/>
      <c r="P377" s="163"/>
      <c r="Q377" s="162"/>
      <c r="R377" s="162"/>
      <c r="S377" s="162"/>
      <c r="T377" s="163"/>
      <c r="U377" s="162"/>
      <c r="V377" s="162"/>
      <c r="W377" s="162"/>
      <c r="X377" s="162"/>
      <c r="Y377" s="162"/>
      <c r="Z377" s="162"/>
      <c r="AA377" s="162"/>
      <c r="AB377" s="162"/>
      <c r="AC377" s="162"/>
      <c r="AD377" s="162"/>
      <c r="AE377" s="162"/>
    </row>
    <row r="378" spans="1:31" s="924" customFormat="1">
      <c r="A378" s="162"/>
      <c r="B378" s="1764"/>
      <c r="C378" s="163"/>
      <c r="D378" s="163"/>
      <c r="E378" s="163"/>
      <c r="F378" s="163"/>
      <c r="G378" s="163"/>
      <c r="H378" s="163"/>
      <c r="I378" s="163"/>
      <c r="J378" s="163"/>
      <c r="K378" s="163"/>
      <c r="L378" s="163"/>
      <c r="M378" s="163"/>
      <c r="N378" s="163"/>
      <c r="O378" s="163"/>
      <c r="P378" s="163"/>
      <c r="Q378" s="162"/>
      <c r="R378" s="162"/>
      <c r="S378" s="162"/>
      <c r="T378" s="163"/>
      <c r="U378" s="162"/>
      <c r="V378" s="162"/>
      <c r="W378" s="162"/>
      <c r="X378" s="162"/>
      <c r="Y378" s="162"/>
      <c r="Z378" s="162"/>
      <c r="AA378" s="162"/>
      <c r="AB378" s="162"/>
      <c r="AC378" s="162"/>
      <c r="AD378" s="162"/>
      <c r="AE378" s="162"/>
    </row>
    <row r="379" spans="1:31" s="924" customFormat="1">
      <c r="A379" s="162"/>
      <c r="B379" s="1764"/>
      <c r="C379" s="163"/>
      <c r="D379" s="163"/>
      <c r="E379" s="163"/>
      <c r="F379" s="163"/>
      <c r="G379" s="163"/>
      <c r="H379" s="163"/>
      <c r="I379" s="163"/>
      <c r="J379" s="163"/>
      <c r="K379" s="163"/>
      <c r="L379" s="163"/>
      <c r="M379" s="163"/>
      <c r="N379" s="163"/>
      <c r="O379" s="163"/>
      <c r="P379" s="163"/>
      <c r="Q379" s="162"/>
      <c r="R379" s="162"/>
      <c r="S379" s="162"/>
      <c r="T379" s="163"/>
      <c r="U379" s="162"/>
      <c r="V379" s="162"/>
      <c r="W379" s="162"/>
      <c r="X379" s="162"/>
      <c r="Y379" s="162"/>
      <c r="Z379" s="162"/>
      <c r="AA379" s="162"/>
      <c r="AB379" s="162"/>
      <c r="AC379" s="162"/>
      <c r="AD379" s="162"/>
      <c r="AE379" s="162"/>
    </row>
    <row r="380" spans="1:31" s="924" customFormat="1">
      <c r="A380" s="162"/>
      <c r="B380" s="1764"/>
      <c r="C380" s="163"/>
      <c r="D380" s="163"/>
      <c r="E380" s="163"/>
      <c r="F380" s="163"/>
      <c r="G380" s="163"/>
      <c r="H380" s="163"/>
      <c r="I380" s="163"/>
      <c r="J380" s="163"/>
      <c r="K380" s="163"/>
      <c r="L380" s="163"/>
      <c r="M380" s="163"/>
      <c r="N380" s="163"/>
      <c r="O380" s="163"/>
      <c r="P380" s="163"/>
      <c r="Q380" s="162"/>
      <c r="R380" s="162"/>
      <c r="S380" s="162"/>
      <c r="T380" s="163"/>
      <c r="U380" s="162"/>
      <c r="V380" s="162"/>
      <c r="W380" s="162"/>
      <c r="X380" s="162"/>
      <c r="Y380" s="162"/>
      <c r="Z380" s="162"/>
      <c r="AA380" s="162"/>
      <c r="AB380" s="162"/>
      <c r="AC380" s="162"/>
      <c r="AD380" s="162"/>
      <c r="AE380" s="162"/>
    </row>
    <row r="381" spans="1:31" s="924" customFormat="1">
      <c r="A381" s="162"/>
      <c r="B381" s="1764"/>
      <c r="C381" s="163"/>
      <c r="D381" s="163"/>
      <c r="E381" s="163"/>
      <c r="F381" s="163"/>
      <c r="G381" s="163"/>
      <c r="H381" s="163"/>
      <c r="I381" s="163"/>
      <c r="J381" s="163"/>
      <c r="K381" s="163"/>
      <c r="L381" s="163"/>
      <c r="M381" s="163"/>
      <c r="N381" s="163"/>
      <c r="O381" s="163"/>
      <c r="P381" s="163"/>
      <c r="Q381" s="162"/>
      <c r="R381" s="162"/>
      <c r="S381" s="162"/>
      <c r="T381" s="163"/>
      <c r="U381" s="162"/>
      <c r="V381" s="162"/>
      <c r="W381" s="162"/>
      <c r="X381" s="162"/>
      <c r="Y381" s="162"/>
      <c r="Z381" s="162"/>
      <c r="AA381" s="162"/>
      <c r="AB381" s="162"/>
      <c r="AC381" s="162"/>
      <c r="AD381" s="162"/>
      <c r="AE381" s="162"/>
    </row>
    <row r="382" spans="1:31" s="924" customFormat="1">
      <c r="A382" s="162"/>
      <c r="B382" s="1764"/>
      <c r="C382" s="163"/>
      <c r="D382" s="163"/>
      <c r="E382" s="163"/>
      <c r="F382" s="163"/>
      <c r="G382" s="163"/>
      <c r="H382" s="163"/>
      <c r="I382" s="163"/>
      <c r="J382" s="163"/>
      <c r="K382" s="163"/>
      <c r="L382" s="163"/>
      <c r="M382" s="163"/>
      <c r="N382" s="163"/>
      <c r="O382" s="163"/>
      <c r="P382" s="163"/>
      <c r="Q382" s="162"/>
      <c r="R382" s="162"/>
      <c r="S382" s="162"/>
      <c r="T382" s="163"/>
      <c r="U382" s="162"/>
      <c r="V382" s="162"/>
      <c r="W382" s="162"/>
      <c r="X382" s="162"/>
      <c r="Y382" s="162"/>
      <c r="Z382" s="162"/>
      <c r="AA382" s="162"/>
      <c r="AB382" s="162"/>
      <c r="AC382" s="162"/>
      <c r="AD382" s="162"/>
      <c r="AE382" s="162"/>
    </row>
    <row r="383" spans="1:31" s="924" customFormat="1">
      <c r="A383" s="162"/>
      <c r="B383" s="1764"/>
      <c r="C383" s="163"/>
      <c r="D383" s="163"/>
      <c r="E383" s="163"/>
      <c r="F383" s="163"/>
      <c r="G383" s="163"/>
      <c r="H383" s="163"/>
      <c r="I383" s="163"/>
      <c r="J383" s="163"/>
      <c r="K383" s="163"/>
      <c r="L383" s="163"/>
      <c r="M383" s="163"/>
      <c r="N383" s="163"/>
      <c r="O383" s="163"/>
      <c r="P383" s="163"/>
      <c r="Q383" s="162"/>
      <c r="R383" s="162"/>
      <c r="S383" s="162"/>
      <c r="T383" s="163"/>
      <c r="U383" s="162"/>
      <c r="V383" s="162"/>
      <c r="W383" s="162"/>
      <c r="X383" s="162"/>
      <c r="Y383" s="162"/>
      <c r="Z383" s="162"/>
      <c r="AA383" s="162"/>
      <c r="AB383" s="162"/>
      <c r="AC383" s="162"/>
      <c r="AD383" s="162"/>
      <c r="AE383" s="162"/>
    </row>
    <row r="384" spans="1:31" s="924" customFormat="1">
      <c r="A384" s="162"/>
      <c r="B384" s="1764"/>
      <c r="C384" s="163"/>
      <c r="D384" s="163"/>
      <c r="E384" s="163"/>
      <c r="F384" s="163"/>
      <c r="G384" s="163"/>
      <c r="H384" s="163"/>
      <c r="I384" s="163"/>
      <c r="J384" s="163"/>
      <c r="K384" s="163"/>
      <c r="L384" s="163"/>
      <c r="M384" s="163"/>
      <c r="N384" s="163"/>
      <c r="O384" s="163"/>
      <c r="P384" s="163"/>
      <c r="Q384" s="162"/>
      <c r="R384" s="162"/>
      <c r="S384" s="162"/>
      <c r="T384" s="163"/>
      <c r="U384" s="162"/>
      <c r="V384" s="162"/>
      <c r="W384" s="162"/>
      <c r="X384" s="162"/>
      <c r="Y384" s="162"/>
      <c r="Z384" s="162"/>
      <c r="AA384" s="162"/>
      <c r="AB384" s="162"/>
      <c r="AC384" s="162"/>
      <c r="AD384" s="162"/>
      <c r="AE384" s="162"/>
    </row>
    <row r="385" spans="1:31" s="924" customFormat="1">
      <c r="A385" s="162"/>
      <c r="B385" s="1764"/>
      <c r="C385" s="163"/>
      <c r="D385" s="163"/>
      <c r="E385" s="163"/>
      <c r="F385" s="163"/>
      <c r="G385" s="163"/>
      <c r="H385" s="163"/>
      <c r="I385" s="163"/>
      <c r="J385" s="163"/>
      <c r="K385" s="163"/>
      <c r="L385" s="163"/>
      <c r="M385" s="163"/>
      <c r="N385" s="163"/>
      <c r="O385" s="163"/>
      <c r="P385" s="163"/>
      <c r="Q385" s="162"/>
      <c r="R385" s="162"/>
      <c r="S385" s="162"/>
      <c r="T385" s="163"/>
      <c r="U385" s="162"/>
      <c r="V385" s="162"/>
      <c r="W385" s="162"/>
      <c r="X385" s="162"/>
      <c r="Y385" s="162"/>
      <c r="Z385" s="162"/>
      <c r="AA385" s="162"/>
      <c r="AB385" s="162"/>
      <c r="AC385" s="162"/>
      <c r="AD385" s="162"/>
      <c r="AE385" s="162"/>
    </row>
    <row r="386" spans="1:31" s="924" customFormat="1">
      <c r="A386" s="162"/>
      <c r="B386" s="1764"/>
      <c r="C386" s="163"/>
      <c r="D386" s="163"/>
      <c r="E386" s="163"/>
      <c r="F386" s="163"/>
      <c r="G386" s="163"/>
      <c r="H386" s="163"/>
      <c r="I386" s="163"/>
      <c r="J386" s="163"/>
      <c r="K386" s="163"/>
      <c r="L386" s="163"/>
      <c r="M386" s="163"/>
      <c r="N386" s="163"/>
      <c r="O386" s="163"/>
      <c r="P386" s="163"/>
      <c r="Q386" s="162"/>
      <c r="R386" s="162"/>
      <c r="S386" s="162"/>
      <c r="T386" s="163"/>
      <c r="U386" s="162"/>
      <c r="V386" s="162"/>
      <c r="W386" s="162"/>
      <c r="X386" s="162"/>
      <c r="Y386" s="162"/>
      <c r="Z386" s="162"/>
      <c r="AA386" s="162"/>
      <c r="AB386" s="162"/>
      <c r="AC386" s="162"/>
      <c r="AD386" s="162"/>
      <c r="AE386" s="162"/>
    </row>
    <row r="387" spans="1:31" s="924" customFormat="1">
      <c r="A387" s="162"/>
      <c r="B387" s="1764"/>
      <c r="C387" s="163"/>
      <c r="D387" s="163"/>
      <c r="E387" s="163"/>
      <c r="F387" s="163"/>
      <c r="G387" s="163"/>
      <c r="H387" s="163"/>
      <c r="I387" s="163"/>
      <c r="J387" s="163"/>
      <c r="K387" s="163"/>
      <c r="L387" s="163"/>
      <c r="M387" s="163"/>
      <c r="N387" s="163"/>
      <c r="O387" s="163"/>
      <c r="P387" s="163"/>
      <c r="Q387" s="162"/>
      <c r="R387" s="162"/>
      <c r="S387" s="162"/>
      <c r="T387" s="163"/>
      <c r="U387" s="162"/>
      <c r="V387" s="162"/>
      <c r="W387" s="162"/>
      <c r="X387" s="162"/>
      <c r="Y387" s="162"/>
      <c r="Z387" s="162"/>
      <c r="AA387" s="162"/>
      <c r="AB387" s="162"/>
      <c r="AC387" s="162"/>
      <c r="AD387" s="162"/>
      <c r="AE387" s="162"/>
    </row>
    <row r="388" spans="1:31" s="924" customFormat="1">
      <c r="A388" s="162"/>
      <c r="B388" s="1764"/>
      <c r="C388" s="163"/>
      <c r="D388" s="163"/>
      <c r="E388" s="163"/>
      <c r="F388" s="163"/>
      <c r="G388" s="163"/>
      <c r="H388" s="163"/>
      <c r="I388" s="163"/>
      <c r="J388" s="163"/>
      <c r="K388" s="163"/>
      <c r="L388" s="163"/>
      <c r="M388" s="163"/>
      <c r="N388" s="163"/>
      <c r="O388" s="163"/>
      <c r="P388" s="163"/>
      <c r="Q388" s="162"/>
      <c r="R388" s="162"/>
      <c r="S388" s="162"/>
      <c r="T388" s="163"/>
      <c r="U388" s="162"/>
      <c r="V388" s="162"/>
      <c r="W388" s="162"/>
      <c r="X388" s="162"/>
      <c r="Y388" s="162"/>
      <c r="Z388" s="162"/>
      <c r="AA388" s="162"/>
      <c r="AB388" s="162"/>
      <c r="AC388" s="162"/>
      <c r="AD388" s="162"/>
      <c r="AE388" s="162"/>
    </row>
    <row r="389" spans="1:31" s="924" customFormat="1">
      <c r="A389" s="162"/>
      <c r="B389" s="1764"/>
      <c r="C389" s="163"/>
      <c r="D389" s="163"/>
      <c r="E389" s="163"/>
      <c r="F389" s="163"/>
      <c r="G389" s="163"/>
      <c r="H389" s="163"/>
      <c r="I389" s="163"/>
      <c r="J389" s="163"/>
      <c r="K389" s="163"/>
      <c r="L389" s="163"/>
      <c r="M389" s="163"/>
      <c r="N389" s="163"/>
      <c r="O389" s="163"/>
      <c r="P389" s="163"/>
      <c r="Q389" s="162"/>
      <c r="R389" s="162"/>
      <c r="S389" s="162"/>
      <c r="T389" s="163"/>
      <c r="U389" s="162"/>
      <c r="V389" s="162"/>
      <c r="W389" s="162"/>
      <c r="X389" s="162"/>
      <c r="Y389" s="162"/>
      <c r="Z389" s="162"/>
      <c r="AA389" s="162"/>
      <c r="AB389" s="162"/>
      <c r="AC389" s="162"/>
      <c r="AD389" s="162"/>
      <c r="AE389" s="162"/>
    </row>
    <row r="390" spans="1:31" s="924" customFormat="1">
      <c r="A390" s="162"/>
      <c r="B390" s="1764"/>
      <c r="C390" s="163"/>
      <c r="D390" s="163"/>
      <c r="E390" s="163"/>
      <c r="F390" s="163"/>
      <c r="G390" s="163"/>
      <c r="H390" s="163"/>
      <c r="I390" s="163"/>
      <c r="J390" s="163"/>
      <c r="K390" s="163"/>
      <c r="L390" s="163"/>
      <c r="M390" s="163"/>
      <c r="N390" s="163"/>
      <c r="O390" s="163"/>
      <c r="P390" s="163"/>
      <c r="Q390" s="162"/>
      <c r="R390" s="162"/>
      <c r="S390" s="162"/>
      <c r="T390" s="163"/>
      <c r="U390" s="162"/>
      <c r="V390" s="162"/>
      <c r="W390" s="162"/>
      <c r="X390" s="162"/>
      <c r="Y390" s="162"/>
      <c r="Z390" s="162"/>
      <c r="AA390" s="162"/>
      <c r="AB390" s="162"/>
      <c r="AC390" s="162"/>
      <c r="AD390" s="162"/>
      <c r="AE390" s="162"/>
    </row>
    <row r="391" spans="1:31" s="924" customFormat="1">
      <c r="A391" s="162"/>
      <c r="B391" s="1764"/>
      <c r="C391" s="163"/>
      <c r="D391" s="163"/>
      <c r="E391" s="163"/>
      <c r="F391" s="163"/>
      <c r="G391" s="163"/>
      <c r="H391" s="163"/>
      <c r="I391" s="163"/>
      <c r="J391" s="163"/>
      <c r="K391" s="163"/>
      <c r="L391" s="163"/>
      <c r="M391" s="163"/>
      <c r="N391" s="163"/>
      <c r="O391" s="163"/>
      <c r="P391" s="163"/>
      <c r="Q391" s="162"/>
      <c r="R391" s="162"/>
      <c r="S391" s="162"/>
      <c r="T391" s="163"/>
      <c r="U391" s="162"/>
      <c r="V391" s="162"/>
      <c r="W391" s="162"/>
      <c r="X391" s="162"/>
      <c r="Y391" s="162"/>
      <c r="Z391" s="162"/>
      <c r="AA391" s="162"/>
      <c r="AB391" s="162"/>
      <c r="AC391" s="162"/>
      <c r="AD391" s="162"/>
      <c r="AE391" s="162"/>
    </row>
    <row r="392" spans="1:31" s="924" customFormat="1">
      <c r="A392" s="162"/>
      <c r="B392" s="1764"/>
      <c r="C392" s="163"/>
      <c r="D392" s="163"/>
      <c r="E392" s="163"/>
      <c r="F392" s="163"/>
      <c r="G392" s="163"/>
      <c r="H392" s="163"/>
      <c r="I392" s="163"/>
      <c r="J392" s="163"/>
      <c r="K392" s="163"/>
      <c r="L392" s="163"/>
      <c r="M392" s="163"/>
      <c r="N392" s="163"/>
      <c r="O392" s="163"/>
      <c r="P392" s="163"/>
      <c r="Q392" s="162"/>
      <c r="R392" s="162"/>
      <c r="S392" s="162"/>
      <c r="T392" s="163"/>
      <c r="U392" s="162"/>
      <c r="V392" s="162"/>
      <c r="W392" s="162"/>
      <c r="X392" s="162"/>
      <c r="Y392" s="162"/>
      <c r="Z392" s="162"/>
      <c r="AA392" s="162"/>
      <c r="AB392" s="162"/>
      <c r="AC392" s="162"/>
      <c r="AD392" s="162"/>
      <c r="AE392" s="162"/>
    </row>
    <row r="393" spans="1:31" s="924" customFormat="1">
      <c r="A393" s="162"/>
      <c r="B393" s="1764"/>
      <c r="C393" s="163"/>
      <c r="D393" s="163"/>
      <c r="E393" s="163"/>
      <c r="F393" s="163"/>
      <c r="G393" s="163"/>
      <c r="H393" s="163"/>
      <c r="I393" s="163"/>
      <c r="J393" s="163"/>
      <c r="K393" s="163"/>
      <c r="L393" s="163"/>
      <c r="M393" s="163"/>
      <c r="N393" s="163"/>
      <c r="O393" s="163"/>
      <c r="P393" s="163"/>
      <c r="Q393" s="162"/>
      <c r="R393" s="162"/>
      <c r="S393" s="162"/>
      <c r="T393" s="163"/>
      <c r="U393" s="162"/>
      <c r="V393" s="162"/>
      <c r="W393" s="162"/>
      <c r="X393" s="162"/>
      <c r="Y393" s="162"/>
      <c r="Z393" s="162"/>
      <c r="AA393" s="162"/>
      <c r="AB393" s="162"/>
      <c r="AC393" s="162"/>
      <c r="AD393" s="162"/>
      <c r="AE393" s="162"/>
    </row>
    <row r="394" spans="1:31" s="924" customFormat="1">
      <c r="A394" s="162"/>
      <c r="B394" s="1764"/>
      <c r="C394" s="163"/>
      <c r="D394" s="163"/>
      <c r="E394" s="163"/>
      <c r="F394" s="163"/>
      <c r="G394" s="163"/>
      <c r="H394" s="163"/>
      <c r="I394" s="163"/>
      <c r="J394" s="163"/>
      <c r="K394" s="163"/>
      <c r="L394" s="163"/>
      <c r="M394" s="163"/>
      <c r="N394" s="163"/>
      <c r="O394" s="163"/>
      <c r="P394" s="163"/>
      <c r="Q394" s="162"/>
      <c r="R394" s="162"/>
      <c r="S394" s="162"/>
      <c r="T394" s="163"/>
      <c r="U394" s="162"/>
      <c r="V394" s="162"/>
      <c r="W394" s="162"/>
      <c r="X394" s="162"/>
      <c r="Y394" s="162"/>
      <c r="Z394" s="162"/>
      <c r="AA394" s="162"/>
      <c r="AB394" s="162"/>
      <c r="AC394" s="162"/>
      <c r="AD394" s="162"/>
      <c r="AE394" s="162"/>
    </row>
    <row r="395" spans="1:31" s="924" customFormat="1">
      <c r="A395" s="162"/>
      <c r="B395" s="1764"/>
      <c r="C395" s="163"/>
      <c r="D395" s="163"/>
      <c r="E395" s="163"/>
      <c r="F395" s="163"/>
      <c r="G395" s="163"/>
      <c r="H395" s="163"/>
      <c r="I395" s="163"/>
      <c r="J395" s="163"/>
      <c r="K395" s="163"/>
      <c r="L395" s="163"/>
      <c r="M395" s="163"/>
      <c r="N395" s="163"/>
      <c r="O395" s="163"/>
      <c r="P395" s="163"/>
      <c r="Q395" s="162"/>
      <c r="R395" s="162"/>
      <c r="S395" s="162"/>
      <c r="T395" s="163"/>
      <c r="U395" s="162"/>
      <c r="V395" s="162"/>
      <c r="W395" s="162"/>
      <c r="X395" s="162"/>
      <c r="Y395" s="162"/>
      <c r="Z395" s="162"/>
      <c r="AA395" s="162"/>
      <c r="AB395" s="162"/>
      <c r="AC395" s="162"/>
      <c r="AD395" s="162"/>
      <c r="AE395" s="162"/>
    </row>
    <row r="396" spans="1:31" s="924" customFormat="1">
      <c r="A396" s="162"/>
      <c r="B396" s="1764"/>
      <c r="C396" s="163"/>
      <c r="D396" s="163"/>
      <c r="E396" s="163"/>
      <c r="F396" s="163"/>
      <c r="G396" s="163"/>
      <c r="H396" s="163"/>
      <c r="I396" s="163"/>
      <c r="J396" s="163"/>
      <c r="K396" s="163"/>
      <c r="L396" s="163"/>
      <c r="M396" s="163"/>
      <c r="N396" s="163"/>
      <c r="O396" s="163"/>
      <c r="P396" s="163"/>
      <c r="Q396" s="162"/>
      <c r="R396" s="162"/>
      <c r="S396" s="162"/>
      <c r="T396" s="163"/>
      <c r="U396" s="162"/>
      <c r="V396" s="162"/>
      <c r="W396" s="162"/>
      <c r="X396" s="162"/>
      <c r="Y396" s="162"/>
      <c r="Z396" s="162"/>
      <c r="AA396" s="162"/>
      <c r="AB396" s="162"/>
      <c r="AC396" s="162"/>
      <c r="AD396" s="162"/>
      <c r="AE396" s="162"/>
    </row>
    <row r="397" spans="1:31" s="924" customFormat="1">
      <c r="A397" s="162"/>
      <c r="B397" s="1764"/>
      <c r="C397" s="163"/>
      <c r="D397" s="163"/>
      <c r="E397" s="163"/>
      <c r="F397" s="163"/>
      <c r="G397" s="163"/>
      <c r="H397" s="163"/>
      <c r="I397" s="163"/>
      <c r="J397" s="163"/>
      <c r="K397" s="163"/>
      <c r="L397" s="163"/>
      <c r="M397" s="163"/>
      <c r="N397" s="163"/>
      <c r="O397" s="163"/>
      <c r="P397" s="163"/>
      <c r="Q397" s="162"/>
      <c r="R397" s="162"/>
      <c r="S397" s="162"/>
      <c r="T397" s="163"/>
      <c r="U397" s="162"/>
      <c r="V397" s="162"/>
      <c r="W397" s="162"/>
      <c r="X397" s="162"/>
      <c r="Y397" s="162"/>
      <c r="Z397" s="162"/>
      <c r="AA397" s="162"/>
      <c r="AB397" s="162"/>
      <c r="AC397" s="162"/>
      <c r="AD397" s="162"/>
      <c r="AE397" s="162"/>
    </row>
    <row r="398" spans="1:31" s="924" customFormat="1">
      <c r="A398" s="162"/>
      <c r="B398" s="1764"/>
      <c r="C398" s="163"/>
      <c r="D398" s="163"/>
      <c r="E398" s="163"/>
      <c r="F398" s="163"/>
      <c r="G398" s="163"/>
      <c r="H398" s="163"/>
      <c r="I398" s="163"/>
      <c r="J398" s="163"/>
      <c r="K398" s="163"/>
      <c r="L398" s="163"/>
      <c r="M398" s="163"/>
      <c r="N398" s="163"/>
      <c r="O398" s="163"/>
      <c r="P398" s="163"/>
      <c r="Q398" s="162"/>
      <c r="R398" s="162"/>
      <c r="S398" s="162"/>
      <c r="T398" s="163"/>
      <c r="U398" s="162"/>
      <c r="V398" s="162"/>
      <c r="W398" s="162"/>
      <c r="X398" s="162"/>
      <c r="Y398" s="162"/>
      <c r="Z398" s="162"/>
      <c r="AA398" s="162"/>
      <c r="AB398" s="162"/>
      <c r="AC398" s="162"/>
      <c r="AD398" s="162"/>
      <c r="AE398" s="162"/>
    </row>
    <row r="399" spans="1:31" s="924" customFormat="1">
      <c r="A399" s="162"/>
      <c r="B399" s="1764"/>
      <c r="C399" s="163"/>
      <c r="D399" s="163"/>
      <c r="E399" s="163"/>
      <c r="F399" s="163"/>
      <c r="G399" s="163"/>
      <c r="H399" s="163"/>
      <c r="I399" s="163"/>
      <c r="J399" s="163"/>
      <c r="K399" s="163"/>
      <c r="L399" s="163"/>
      <c r="M399" s="163"/>
      <c r="N399" s="163"/>
      <c r="O399" s="163"/>
      <c r="P399" s="163"/>
      <c r="Q399" s="162"/>
      <c r="R399" s="162"/>
      <c r="S399" s="162"/>
      <c r="T399" s="163"/>
      <c r="U399" s="162"/>
      <c r="V399" s="162"/>
      <c r="W399" s="162"/>
      <c r="X399" s="162"/>
      <c r="Y399" s="162"/>
      <c r="Z399" s="162"/>
      <c r="AA399" s="162"/>
      <c r="AB399" s="162"/>
      <c r="AC399" s="162"/>
      <c r="AD399" s="162"/>
      <c r="AE399" s="162"/>
    </row>
    <row r="400" spans="1:31" s="924" customFormat="1">
      <c r="A400" s="162"/>
      <c r="B400" s="1764"/>
      <c r="C400" s="163"/>
      <c r="D400" s="163"/>
      <c r="E400" s="163"/>
      <c r="F400" s="163"/>
      <c r="G400" s="163"/>
      <c r="H400" s="163"/>
      <c r="I400" s="163"/>
      <c r="J400" s="163"/>
      <c r="K400" s="163"/>
      <c r="L400" s="163"/>
      <c r="M400" s="163"/>
      <c r="N400" s="163"/>
      <c r="O400" s="163"/>
      <c r="P400" s="163"/>
      <c r="Q400" s="162"/>
      <c r="R400" s="162"/>
      <c r="S400" s="162"/>
      <c r="T400" s="163"/>
      <c r="U400" s="162"/>
      <c r="V400" s="162"/>
      <c r="W400" s="162"/>
      <c r="X400" s="162"/>
      <c r="Y400" s="162"/>
      <c r="Z400" s="162"/>
      <c r="AA400" s="162"/>
      <c r="AB400" s="162"/>
      <c r="AC400" s="162"/>
      <c r="AD400" s="162"/>
      <c r="AE400" s="162"/>
    </row>
    <row r="401" spans="1:31" s="924" customFormat="1">
      <c r="A401" s="162"/>
      <c r="B401" s="1764"/>
      <c r="C401" s="163"/>
      <c r="D401" s="163"/>
      <c r="E401" s="163"/>
      <c r="F401" s="163"/>
      <c r="G401" s="163"/>
      <c r="H401" s="163"/>
      <c r="I401" s="163"/>
      <c r="J401" s="163"/>
      <c r="K401" s="163"/>
      <c r="L401" s="163"/>
      <c r="M401" s="163"/>
      <c r="N401" s="163"/>
      <c r="O401" s="163"/>
      <c r="P401" s="163"/>
      <c r="Q401" s="162"/>
      <c r="R401" s="162"/>
      <c r="S401" s="162"/>
      <c r="T401" s="163"/>
      <c r="U401" s="162"/>
      <c r="V401" s="162"/>
      <c r="W401" s="162"/>
      <c r="X401" s="162"/>
      <c r="Y401" s="162"/>
      <c r="Z401" s="162"/>
      <c r="AA401" s="162"/>
      <c r="AB401" s="162"/>
      <c r="AC401" s="162"/>
      <c r="AD401" s="162"/>
      <c r="AE401" s="162"/>
    </row>
    <row r="402" spans="1:31" s="924" customFormat="1">
      <c r="A402" s="162"/>
      <c r="B402" s="1764"/>
      <c r="C402" s="163"/>
      <c r="D402" s="163"/>
      <c r="E402" s="163"/>
      <c r="F402" s="163"/>
      <c r="G402" s="163"/>
      <c r="H402" s="163"/>
      <c r="I402" s="163"/>
      <c r="J402" s="163"/>
      <c r="K402" s="163"/>
      <c r="L402" s="163"/>
      <c r="M402" s="163"/>
      <c r="N402" s="163"/>
      <c r="O402" s="163"/>
      <c r="P402" s="163"/>
      <c r="Q402" s="162"/>
      <c r="R402" s="162"/>
      <c r="S402" s="162"/>
      <c r="T402" s="163"/>
      <c r="U402" s="162"/>
      <c r="V402" s="162"/>
      <c r="W402" s="162"/>
      <c r="X402" s="162"/>
      <c r="Y402" s="162"/>
      <c r="Z402" s="162"/>
      <c r="AA402" s="162"/>
      <c r="AB402" s="162"/>
      <c r="AC402" s="162"/>
      <c r="AD402" s="162"/>
      <c r="AE402" s="162"/>
    </row>
    <row r="403" spans="1:31" s="924" customFormat="1">
      <c r="A403" s="162"/>
      <c r="B403" s="1764"/>
      <c r="C403" s="163"/>
      <c r="D403" s="163"/>
      <c r="E403" s="163"/>
      <c r="F403" s="163"/>
      <c r="G403" s="163"/>
      <c r="H403" s="163"/>
      <c r="I403" s="163"/>
      <c r="J403" s="163"/>
      <c r="K403" s="163"/>
      <c r="L403" s="163"/>
      <c r="M403" s="163"/>
      <c r="N403" s="163"/>
      <c r="O403" s="163"/>
      <c r="P403" s="163"/>
      <c r="Q403" s="162"/>
      <c r="R403" s="162"/>
      <c r="S403" s="162"/>
      <c r="T403" s="163"/>
      <c r="U403" s="162"/>
      <c r="V403" s="162"/>
      <c r="W403" s="162"/>
      <c r="X403" s="162"/>
      <c r="Y403" s="162"/>
      <c r="Z403" s="162"/>
      <c r="AA403" s="162"/>
      <c r="AB403" s="162"/>
      <c r="AC403" s="162"/>
      <c r="AD403" s="162"/>
      <c r="AE403" s="162"/>
    </row>
    <row r="404" spans="1:31" s="924" customFormat="1">
      <c r="A404" s="162"/>
      <c r="B404" s="1764"/>
      <c r="C404" s="163"/>
      <c r="D404" s="163"/>
      <c r="E404" s="163"/>
      <c r="F404" s="163"/>
      <c r="G404" s="163"/>
      <c r="H404" s="163"/>
      <c r="I404" s="163"/>
      <c r="J404" s="163"/>
      <c r="K404" s="163"/>
      <c r="L404" s="163"/>
      <c r="M404" s="163"/>
      <c r="N404" s="163"/>
      <c r="O404" s="163"/>
      <c r="P404" s="163"/>
      <c r="Q404" s="162"/>
      <c r="R404" s="162"/>
      <c r="S404" s="162"/>
      <c r="T404" s="163"/>
      <c r="U404" s="162"/>
      <c r="V404" s="162"/>
      <c r="W404" s="162"/>
      <c r="X404" s="162"/>
      <c r="Y404" s="162"/>
      <c r="Z404" s="162"/>
      <c r="AA404" s="162"/>
      <c r="AB404" s="162"/>
      <c r="AC404" s="162"/>
      <c r="AD404" s="162"/>
      <c r="AE404" s="162"/>
    </row>
    <row r="405" spans="1:31" s="924" customFormat="1">
      <c r="A405" s="162"/>
      <c r="B405" s="1764"/>
      <c r="C405" s="163"/>
      <c r="D405" s="163"/>
      <c r="E405" s="163"/>
      <c r="F405" s="163"/>
      <c r="G405" s="163"/>
      <c r="H405" s="163"/>
      <c r="I405" s="163"/>
      <c r="J405" s="163"/>
      <c r="K405" s="163"/>
      <c r="L405" s="163"/>
      <c r="M405" s="163"/>
      <c r="N405" s="163"/>
      <c r="O405" s="163"/>
      <c r="P405" s="163"/>
      <c r="Q405" s="162"/>
      <c r="R405" s="162"/>
      <c r="S405" s="162"/>
      <c r="T405" s="163"/>
      <c r="U405" s="162"/>
      <c r="V405" s="162"/>
      <c r="W405" s="162"/>
      <c r="X405" s="162"/>
      <c r="Y405" s="162"/>
      <c r="Z405" s="162"/>
      <c r="AA405" s="162"/>
      <c r="AB405" s="162"/>
      <c r="AC405" s="162"/>
      <c r="AD405" s="162"/>
      <c r="AE405" s="162"/>
    </row>
    <row r="406" spans="1:31" s="924" customFormat="1">
      <c r="A406" s="162"/>
      <c r="B406" s="1764"/>
      <c r="C406" s="163"/>
      <c r="D406" s="163"/>
      <c r="E406" s="163"/>
      <c r="F406" s="163"/>
      <c r="G406" s="163"/>
      <c r="H406" s="163"/>
      <c r="I406" s="163"/>
      <c r="J406" s="163"/>
      <c r="K406" s="163"/>
      <c r="L406" s="163"/>
      <c r="M406" s="163"/>
      <c r="N406" s="163"/>
      <c r="O406" s="163"/>
      <c r="P406" s="163"/>
      <c r="Q406" s="162"/>
      <c r="R406" s="162"/>
      <c r="S406" s="162"/>
      <c r="T406" s="163"/>
      <c r="U406" s="162"/>
      <c r="V406" s="162"/>
      <c r="W406" s="162"/>
      <c r="X406" s="162"/>
      <c r="Y406" s="162"/>
      <c r="Z406" s="162"/>
      <c r="AA406" s="162"/>
      <c r="AB406" s="162"/>
      <c r="AC406" s="162"/>
      <c r="AD406" s="162"/>
      <c r="AE406" s="162"/>
    </row>
    <row r="407" spans="1:31" s="924" customFormat="1">
      <c r="A407" s="162"/>
      <c r="B407" s="1764"/>
      <c r="C407" s="163"/>
      <c r="D407" s="163"/>
      <c r="E407" s="163"/>
      <c r="F407" s="163"/>
      <c r="G407" s="163"/>
      <c r="H407" s="163"/>
      <c r="I407" s="163"/>
      <c r="J407" s="163"/>
      <c r="K407" s="163"/>
      <c r="L407" s="163"/>
      <c r="M407" s="163"/>
      <c r="N407" s="163"/>
      <c r="O407" s="163"/>
      <c r="P407" s="163"/>
      <c r="Q407" s="162"/>
      <c r="R407" s="162"/>
      <c r="S407" s="162"/>
      <c r="T407" s="163"/>
      <c r="U407" s="162"/>
      <c r="V407" s="162"/>
      <c r="W407" s="162"/>
      <c r="X407" s="162"/>
      <c r="Y407" s="162"/>
      <c r="Z407" s="162"/>
      <c r="AA407" s="162"/>
      <c r="AB407" s="162"/>
      <c r="AC407" s="162"/>
      <c r="AD407" s="162"/>
      <c r="AE407" s="162"/>
    </row>
    <row r="408" spans="1:31" s="924" customFormat="1">
      <c r="A408" s="162"/>
      <c r="B408" s="1764"/>
      <c r="C408" s="163"/>
      <c r="D408" s="163"/>
      <c r="E408" s="163"/>
      <c r="F408" s="163"/>
      <c r="G408" s="163"/>
      <c r="H408" s="163"/>
      <c r="I408" s="163"/>
      <c r="J408" s="163"/>
      <c r="K408" s="163"/>
      <c r="L408" s="163"/>
      <c r="M408" s="163"/>
      <c r="N408" s="163"/>
      <c r="O408" s="163"/>
      <c r="P408" s="163"/>
      <c r="Q408" s="162"/>
      <c r="R408" s="162"/>
      <c r="S408" s="162"/>
      <c r="T408" s="163"/>
      <c r="U408" s="162"/>
      <c r="V408" s="162"/>
      <c r="W408" s="162"/>
      <c r="X408" s="162"/>
      <c r="Y408" s="162"/>
      <c r="Z408" s="162"/>
      <c r="AA408" s="162"/>
      <c r="AB408" s="162"/>
      <c r="AC408" s="162"/>
      <c r="AD408" s="162"/>
      <c r="AE408" s="162"/>
    </row>
    <row r="409" spans="1:31" s="924" customFormat="1">
      <c r="A409" s="162"/>
      <c r="B409" s="1764"/>
      <c r="C409" s="163"/>
      <c r="D409" s="163"/>
      <c r="E409" s="163"/>
      <c r="F409" s="163"/>
      <c r="G409" s="163"/>
      <c r="H409" s="163"/>
      <c r="I409" s="163"/>
      <c r="J409" s="163"/>
      <c r="K409" s="163"/>
      <c r="L409" s="163"/>
      <c r="M409" s="163"/>
      <c r="N409" s="163"/>
      <c r="O409" s="163"/>
      <c r="P409" s="163"/>
      <c r="Q409" s="162"/>
      <c r="R409" s="162"/>
      <c r="S409" s="162"/>
      <c r="T409" s="163"/>
      <c r="U409" s="162"/>
      <c r="V409" s="162"/>
      <c r="W409" s="162"/>
      <c r="X409" s="162"/>
      <c r="Y409" s="162"/>
      <c r="Z409" s="162"/>
      <c r="AA409" s="162"/>
      <c r="AB409" s="162"/>
      <c r="AC409" s="162"/>
      <c r="AD409" s="162"/>
      <c r="AE409" s="162"/>
    </row>
    <row r="410" spans="1:31" s="924" customFormat="1">
      <c r="A410" s="162"/>
      <c r="B410" s="1764"/>
      <c r="C410" s="163"/>
      <c r="D410" s="163"/>
      <c r="E410" s="163"/>
      <c r="F410" s="163"/>
      <c r="G410" s="163"/>
      <c r="H410" s="163"/>
      <c r="I410" s="163"/>
      <c r="J410" s="163"/>
      <c r="K410" s="163"/>
      <c r="L410" s="163"/>
      <c r="M410" s="163"/>
      <c r="N410" s="163"/>
      <c r="O410" s="163"/>
      <c r="P410" s="163"/>
      <c r="Q410" s="162"/>
      <c r="R410" s="162"/>
      <c r="S410" s="162"/>
      <c r="T410" s="163"/>
      <c r="U410" s="162"/>
      <c r="V410" s="162"/>
      <c r="W410" s="162"/>
      <c r="X410" s="162"/>
      <c r="Y410" s="162"/>
      <c r="Z410" s="162"/>
      <c r="AA410" s="162"/>
      <c r="AB410" s="162"/>
      <c r="AC410" s="162"/>
      <c r="AD410" s="162"/>
      <c r="AE410" s="162"/>
    </row>
    <row r="411" spans="1:31" s="924" customFormat="1">
      <c r="A411" s="162"/>
      <c r="B411" s="1764"/>
      <c r="C411" s="163"/>
      <c r="D411" s="163"/>
      <c r="E411" s="163"/>
      <c r="F411" s="163"/>
      <c r="G411" s="163"/>
      <c r="H411" s="163"/>
      <c r="I411" s="163"/>
      <c r="J411" s="163"/>
      <c r="K411" s="163"/>
      <c r="L411" s="163"/>
      <c r="M411" s="163"/>
      <c r="N411" s="163"/>
      <c r="O411" s="163"/>
      <c r="P411" s="163"/>
      <c r="Q411" s="162"/>
      <c r="R411" s="162"/>
      <c r="S411" s="162"/>
      <c r="T411" s="163"/>
      <c r="U411" s="162"/>
      <c r="V411" s="162"/>
      <c r="W411" s="162"/>
      <c r="X411" s="162"/>
      <c r="Y411" s="162"/>
      <c r="Z411" s="162"/>
      <c r="AA411" s="162"/>
      <c r="AB411" s="162"/>
      <c r="AC411" s="162"/>
      <c r="AD411" s="162"/>
      <c r="AE411" s="162"/>
    </row>
    <row r="412" spans="1:31" s="924" customFormat="1">
      <c r="A412" s="162"/>
      <c r="B412" s="1764"/>
      <c r="C412" s="163"/>
      <c r="D412" s="163"/>
      <c r="E412" s="163"/>
      <c r="F412" s="163"/>
      <c r="G412" s="163"/>
      <c r="H412" s="163"/>
      <c r="I412" s="163"/>
      <c r="J412" s="163"/>
      <c r="K412" s="163"/>
      <c r="L412" s="163"/>
      <c r="M412" s="163"/>
      <c r="N412" s="163"/>
      <c r="O412" s="163"/>
      <c r="P412" s="163"/>
      <c r="Q412" s="162"/>
      <c r="R412" s="162"/>
      <c r="S412" s="162"/>
      <c r="T412" s="163"/>
      <c r="U412" s="162"/>
      <c r="V412" s="162"/>
      <c r="W412" s="162"/>
      <c r="X412" s="162"/>
      <c r="Y412" s="162"/>
      <c r="Z412" s="162"/>
      <c r="AA412" s="162"/>
      <c r="AB412" s="162"/>
      <c r="AC412" s="162"/>
      <c r="AD412" s="162"/>
      <c r="AE412" s="162"/>
    </row>
    <row r="413" spans="1:31" s="924" customFormat="1">
      <c r="A413" s="162"/>
      <c r="B413" s="1764"/>
      <c r="C413" s="163"/>
      <c r="D413" s="163"/>
      <c r="E413" s="163"/>
      <c r="F413" s="163"/>
      <c r="G413" s="163"/>
      <c r="H413" s="163"/>
      <c r="I413" s="163"/>
      <c r="J413" s="163"/>
      <c r="K413" s="163"/>
      <c r="L413" s="163"/>
      <c r="M413" s="163"/>
      <c r="N413" s="163"/>
      <c r="O413" s="163"/>
      <c r="P413" s="163"/>
      <c r="Q413" s="162"/>
      <c r="R413" s="162"/>
      <c r="S413" s="162"/>
      <c r="T413" s="163"/>
      <c r="U413" s="162"/>
      <c r="V413" s="162"/>
      <c r="W413" s="162"/>
      <c r="X413" s="162"/>
      <c r="Y413" s="162"/>
      <c r="Z413" s="162"/>
      <c r="AA413" s="162"/>
      <c r="AB413" s="162"/>
      <c r="AC413" s="162"/>
      <c r="AD413" s="162"/>
      <c r="AE413" s="162"/>
    </row>
    <row r="414" spans="1:31" s="924" customFormat="1">
      <c r="A414" s="162"/>
      <c r="B414" s="1764"/>
      <c r="C414" s="163"/>
      <c r="D414" s="163"/>
      <c r="E414" s="163"/>
      <c r="F414" s="163"/>
      <c r="G414" s="163"/>
      <c r="H414" s="163"/>
      <c r="I414" s="163"/>
      <c r="J414" s="163"/>
      <c r="K414" s="163"/>
      <c r="L414" s="163"/>
      <c r="M414" s="163"/>
      <c r="N414" s="163"/>
      <c r="O414" s="163"/>
      <c r="P414" s="163"/>
      <c r="Q414" s="162"/>
      <c r="R414" s="162"/>
      <c r="S414" s="162"/>
      <c r="T414" s="163"/>
      <c r="U414" s="162"/>
      <c r="V414" s="162"/>
      <c r="W414" s="162"/>
      <c r="X414" s="162"/>
      <c r="Y414" s="162"/>
      <c r="Z414" s="162"/>
      <c r="AA414" s="162"/>
      <c r="AB414" s="162"/>
      <c r="AC414" s="162"/>
      <c r="AD414" s="162"/>
      <c r="AE414" s="162"/>
    </row>
    <row r="415" spans="1:31" s="924" customFormat="1">
      <c r="A415" s="162"/>
      <c r="B415" s="1764"/>
      <c r="C415" s="163"/>
      <c r="D415" s="163"/>
      <c r="E415" s="163"/>
      <c r="F415" s="163"/>
      <c r="G415" s="163"/>
      <c r="H415" s="163"/>
      <c r="I415" s="163"/>
      <c r="J415" s="163"/>
      <c r="K415" s="163"/>
      <c r="L415" s="163"/>
      <c r="M415" s="163"/>
      <c r="N415" s="163"/>
      <c r="O415" s="163"/>
      <c r="P415" s="163"/>
      <c r="Q415" s="162"/>
      <c r="R415" s="162"/>
      <c r="S415" s="162"/>
      <c r="T415" s="163"/>
      <c r="U415" s="162"/>
      <c r="V415" s="162"/>
      <c r="W415" s="162"/>
      <c r="X415" s="162"/>
      <c r="Y415" s="162"/>
      <c r="Z415" s="162"/>
      <c r="AA415" s="162"/>
      <c r="AB415" s="162"/>
      <c r="AC415" s="162"/>
      <c r="AD415" s="162"/>
      <c r="AE415" s="162"/>
    </row>
    <row r="416" spans="1:31" s="924" customFormat="1">
      <c r="A416" s="162"/>
      <c r="B416" s="1764"/>
      <c r="C416" s="163"/>
      <c r="D416" s="163"/>
      <c r="E416" s="163"/>
      <c r="F416" s="163"/>
      <c r="G416" s="163"/>
      <c r="H416" s="163"/>
      <c r="I416" s="163"/>
      <c r="J416" s="163"/>
      <c r="K416" s="163"/>
      <c r="L416" s="163"/>
      <c r="M416" s="163"/>
      <c r="N416" s="163"/>
      <c r="O416" s="163"/>
      <c r="P416" s="163"/>
      <c r="Q416" s="162"/>
      <c r="R416" s="162"/>
      <c r="S416" s="162"/>
      <c r="T416" s="163"/>
      <c r="U416" s="162"/>
      <c r="V416" s="162"/>
      <c r="W416" s="162"/>
      <c r="X416" s="162"/>
      <c r="Y416" s="162"/>
      <c r="Z416" s="162"/>
      <c r="AA416" s="162"/>
      <c r="AB416" s="162"/>
      <c r="AC416" s="162"/>
      <c r="AD416" s="162"/>
      <c r="AE416" s="162"/>
    </row>
    <row r="417" spans="1:31" s="924" customFormat="1">
      <c r="A417" s="162"/>
      <c r="B417" s="1764"/>
      <c r="C417" s="163"/>
      <c r="D417" s="163"/>
      <c r="E417" s="163"/>
      <c r="F417" s="163"/>
      <c r="G417" s="163"/>
      <c r="H417" s="163"/>
      <c r="I417" s="163"/>
      <c r="J417" s="163"/>
      <c r="K417" s="163"/>
      <c r="L417" s="163"/>
      <c r="M417" s="163"/>
      <c r="N417" s="163"/>
      <c r="O417" s="163"/>
      <c r="P417" s="163"/>
      <c r="Q417" s="162"/>
      <c r="R417" s="162"/>
      <c r="S417" s="162"/>
      <c r="T417" s="163"/>
      <c r="U417" s="162"/>
      <c r="V417" s="162"/>
      <c r="W417" s="162"/>
      <c r="X417" s="162"/>
      <c r="Y417" s="162"/>
      <c r="Z417" s="162"/>
      <c r="AA417" s="162"/>
      <c r="AB417" s="162"/>
      <c r="AC417" s="162"/>
      <c r="AD417" s="162"/>
      <c r="AE417" s="162"/>
    </row>
    <row r="418" spans="1:31" s="924" customFormat="1">
      <c r="A418" s="162"/>
      <c r="B418" s="1764"/>
      <c r="C418" s="163"/>
      <c r="D418" s="163"/>
      <c r="E418" s="163"/>
      <c r="F418" s="163"/>
      <c r="G418" s="163"/>
      <c r="H418" s="163"/>
      <c r="I418" s="163"/>
      <c r="J418" s="163"/>
      <c r="K418" s="163"/>
      <c r="L418" s="163"/>
      <c r="M418" s="163"/>
      <c r="N418" s="163"/>
      <c r="O418" s="163"/>
      <c r="P418" s="163"/>
      <c r="Q418" s="162"/>
      <c r="R418" s="162"/>
      <c r="S418" s="162"/>
      <c r="T418" s="163"/>
      <c r="U418" s="162"/>
      <c r="V418" s="162"/>
      <c r="W418" s="162"/>
      <c r="X418" s="162"/>
      <c r="Y418" s="162"/>
      <c r="Z418" s="162"/>
      <c r="AA418" s="162"/>
      <c r="AB418" s="162"/>
      <c r="AC418" s="162"/>
      <c r="AD418" s="162"/>
      <c r="AE418" s="162"/>
    </row>
    <row r="419" spans="1:31" s="924" customFormat="1">
      <c r="A419" s="162"/>
      <c r="B419" s="1764"/>
      <c r="C419" s="163"/>
      <c r="D419" s="163"/>
      <c r="E419" s="163"/>
      <c r="F419" s="163"/>
      <c r="G419" s="163"/>
      <c r="H419" s="163"/>
      <c r="I419" s="163"/>
      <c r="J419" s="163"/>
      <c r="K419" s="163"/>
      <c r="L419" s="163"/>
      <c r="M419" s="163"/>
      <c r="N419" s="163"/>
      <c r="O419" s="163"/>
      <c r="P419" s="163"/>
      <c r="Q419" s="162"/>
      <c r="R419" s="162"/>
      <c r="S419" s="162"/>
      <c r="T419" s="163"/>
      <c r="U419" s="162"/>
      <c r="V419" s="162"/>
      <c r="W419" s="162"/>
      <c r="X419" s="162"/>
      <c r="Y419" s="162"/>
      <c r="Z419" s="162"/>
      <c r="AA419" s="162"/>
      <c r="AB419" s="162"/>
      <c r="AC419" s="162"/>
      <c r="AD419" s="162"/>
      <c r="AE419" s="162"/>
    </row>
    <row r="420" spans="1:31" s="924" customFormat="1">
      <c r="A420" s="162"/>
      <c r="B420" s="1764"/>
      <c r="C420" s="163"/>
      <c r="D420" s="163"/>
      <c r="E420" s="163"/>
      <c r="F420" s="163"/>
      <c r="G420" s="163"/>
      <c r="H420" s="163"/>
      <c r="I420" s="163"/>
      <c r="J420" s="163"/>
      <c r="K420" s="163"/>
      <c r="L420" s="163"/>
      <c r="M420" s="163"/>
      <c r="N420" s="163"/>
      <c r="O420" s="163"/>
      <c r="P420" s="163"/>
      <c r="Q420" s="162"/>
      <c r="R420" s="162"/>
      <c r="S420" s="162"/>
      <c r="T420" s="163"/>
      <c r="U420" s="162"/>
      <c r="V420" s="162"/>
      <c r="W420" s="162"/>
      <c r="X420" s="162"/>
      <c r="Y420" s="162"/>
      <c r="Z420" s="162"/>
      <c r="AA420" s="162"/>
      <c r="AB420" s="162"/>
      <c r="AC420" s="162"/>
      <c r="AD420" s="162"/>
      <c r="AE420" s="162"/>
    </row>
    <row r="421" spans="1:31" s="924" customFormat="1">
      <c r="A421" s="162"/>
      <c r="B421" s="1764"/>
      <c r="C421" s="163"/>
      <c r="D421" s="163"/>
      <c r="E421" s="163"/>
      <c r="F421" s="163"/>
      <c r="G421" s="163"/>
      <c r="H421" s="163"/>
      <c r="I421" s="163"/>
      <c r="J421" s="163"/>
      <c r="K421" s="163"/>
      <c r="L421" s="163"/>
      <c r="M421" s="163"/>
      <c r="N421" s="163"/>
      <c r="O421" s="163"/>
      <c r="P421" s="163"/>
      <c r="Q421" s="162"/>
      <c r="R421" s="162"/>
      <c r="S421" s="162"/>
      <c r="T421" s="163"/>
      <c r="U421" s="162"/>
      <c r="V421" s="162"/>
      <c r="W421" s="162"/>
      <c r="X421" s="162"/>
      <c r="Y421" s="162"/>
      <c r="Z421" s="162"/>
      <c r="AA421" s="162"/>
      <c r="AB421" s="162"/>
      <c r="AC421" s="162"/>
      <c r="AD421" s="162"/>
      <c r="AE421" s="162"/>
    </row>
    <row r="422" spans="1:31" s="924" customFormat="1">
      <c r="A422" s="162"/>
      <c r="B422" s="1764"/>
      <c r="C422" s="163"/>
      <c r="D422" s="163"/>
      <c r="E422" s="163"/>
      <c r="F422" s="163"/>
      <c r="G422" s="163"/>
      <c r="H422" s="163"/>
      <c r="I422" s="163"/>
      <c r="J422" s="163"/>
      <c r="K422" s="163"/>
      <c r="L422" s="163"/>
      <c r="M422" s="163"/>
      <c r="N422" s="163"/>
      <c r="O422" s="163"/>
      <c r="P422" s="163"/>
      <c r="Q422" s="162"/>
      <c r="R422" s="162"/>
      <c r="S422" s="162"/>
      <c r="T422" s="163"/>
      <c r="U422" s="162"/>
      <c r="V422" s="162"/>
      <c r="W422" s="162"/>
      <c r="X422" s="162"/>
      <c r="Y422" s="162"/>
      <c r="Z422" s="162"/>
      <c r="AA422" s="162"/>
      <c r="AB422" s="162"/>
      <c r="AC422" s="162"/>
      <c r="AD422" s="162"/>
      <c r="AE422" s="162"/>
    </row>
    <row r="423" spans="1:31" s="924" customFormat="1">
      <c r="A423" s="162"/>
      <c r="B423" s="1764"/>
      <c r="C423" s="163"/>
      <c r="D423" s="163"/>
      <c r="E423" s="163"/>
      <c r="F423" s="163"/>
      <c r="G423" s="163"/>
      <c r="H423" s="163"/>
      <c r="I423" s="163"/>
      <c r="J423" s="163"/>
      <c r="K423" s="163"/>
      <c r="L423" s="163"/>
      <c r="M423" s="163"/>
      <c r="N423" s="163"/>
      <c r="O423" s="163"/>
      <c r="P423" s="163"/>
      <c r="Q423" s="162"/>
      <c r="R423" s="162"/>
      <c r="S423" s="162"/>
      <c r="T423" s="163"/>
      <c r="U423" s="162"/>
      <c r="V423" s="162"/>
      <c r="W423" s="162"/>
      <c r="X423" s="162"/>
      <c r="Y423" s="162"/>
      <c r="Z423" s="162"/>
      <c r="AA423" s="162"/>
      <c r="AB423" s="162"/>
      <c r="AC423" s="162"/>
      <c r="AD423" s="162"/>
      <c r="AE423" s="162"/>
    </row>
    <row r="424" spans="1:31" s="924" customFormat="1">
      <c r="A424" s="162"/>
      <c r="B424" s="1764"/>
      <c r="C424" s="163"/>
      <c r="D424" s="163"/>
      <c r="E424" s="163"/>
      <c r="F424" s="163"/>
      <c r="G424" s="163"/>
      <c r="H424" s="163"/>
      <c r="I424" s="163"/>
      <c r="J424" s="163"/>
      <c r="K424" s="163"/>
      <c r="L424" s="163"/>
      <c r="M424" s="163"/>
      <c r="N424" s="163"/>
      <c r="O424" s="163"/>
      <c r="P424" s="163"/>
      <c r="Q424" s="162"/>
      <c r="R424" s="162"/>
      <c r="S424" s="162"/>
      <c r="T424" s="163"/>
      <c r="U424" s="162"/>
      <c r="V424" s="162"/>
      <c r="W424" s="162"/>
      <c r="X424" s="162"/>
      <c r="Y424" s="162"/>
      <c r="Z424" s="162"/>
      <c r="AA424" s="162"/>
      <c r="AB424" s="162"/>
      <c r="AC424" s="162"/>
      <c r="AD424" s="162"/>
      <c r="AE424" s="162"/>
    </row>
    <row r="425" spans="1:31" s="924" customFormat="1">
      <c r="A425" s="162"/>
      <c r="B425" s="1764"/>
      <c r="C425" s="163"/>
      <c r="D425" s="163"/>
      <c r="E425" s="163"/>
      <c r="F425" s="163"/>
      <c r="G425" s="163"/>
      <c r="H425" s="163"/>
      <c r="I425" s="163"/>
      <c r="J425" s="163"/>
      <c r="K425" s="163"/>
      <c r="L425" s="163"/>
      <c r="M425" s="163"/>
      <c r="N425" s="163"/>
      <c r="O425" s="163"/>
      <c r="P425" s="163"/>
      <c r="Q425" s="162"/>
      <c r="R425" s="162"/>
      <c r="S425" s="162"/>
      <c r="T425" s="163"/>
      <c r="U425" s="162"/>
      <c r="V425" s="162"/>
      <c r="W425" s="162"/>
      <c r="X425" s="162"/>
      <c r="Y425" s="162"/>
      <c r="Z425" s="162"/>
      <c r="AA425" s="162"/>
      <c r="AB425" s="162"/>
      <c r="AC425" s="162"/>
      <c r="AD425" s="162"/>
      <c r="AE425" s="162"/>
    </row>
    <row r="426" spans="1:31" s="924" customFormat="1">
      <c r="A426" s="162"/>
      <c r="B426" s="1764"/>
      <c r="C426" s="163"/>
      <c r="D426" s="163"/>
      <c r="E426" s="163"/>
      <c r="F426" s="163"/>
      <c r="G426" s="163"/>
      <c r="H426" s="163"/>
      <c r="I426" s="163"/>
      <c r="J426" s="163"/>
      <c r="K426" s="163"/>
      <c r="L426" s="163"/>
      <c r="M426" s="163"/>
      <c r="N426" s="163"/>
      <c r="O426" s="163"/>
      <c r="P426" s="163"/>
      <c r="Q426" s="162"/>
      <c r="R426" s="162"/>
      <c r="S426" s="162"/>
      <c r="T426" s="163"/>
      <c r="U426" s="162"/>
      <c r="V426" s="162"/>
      <c r="W426" s="162"/>
      <c r="X426" s="162"/>
      <c r="Y426" s="162"/>
      <c r="Z426" s="162"/>
      <c r="AA426" s="162"/>
      <c r="AB426" s="162"/>
      <c r="AC426" s="162"/>
      <c r="AD426" s="162"/>
      <c r="AE426" s="162"/>
    </row>
    <row r="427" spans="1:31" s="924" customFormat="1">
      <c r="A427" s="162"/>
      <c r="B427" s="1764"/>
      <c r="C427" s="163"/>
      <c r="D427" s="163"/>
      <c r="E427" s="163"/>
      <c r="F427" s="163"/>
      <c r="G427" s="163"/>
      <c r="H427" s="163"/>
      <c r="I427" s="163"/>
      <c r="J427" s="163"/>
      <c r="K427" s="163"/>
      <c r="L427" s="163"/>
      <c r="M427" s="163"/>
      <c r="N427" s="163"/>
      <c r="O427" s="163"/>
      <c r="P427" s="163"/>
      <c r="Q427" s="162"/>
      <c r="R427" s="162"/>
      <c r="S427" s="162"/>
      <c r="T427" s="163"/>
      <c r="U427" s="162"/>
      <c r="V427" s="162"/>
      <c r="W427" s="162"/>
      <c r="X427" s="162"/>
      <c r="Y427" s="162"/>
      <c r="Z427" s="162"/>
      <c r="AA427" s="162"/>
      <c r="AB427" s="162"/>
      <c r="AC427" s="162"/>
      <c r="AD427" s="162"/>
      <c r="AE427" s="162"/>
    </row>
    <row r="428" spans="1:31" s="924" customFormat="1">
      <c r="A428" s="162"/>
      <c r="B428" s="1764"/>
      <c r="C428" s="163"/>
      <c r="D428" s="163"/>
      <c r="E428" s="163"/>
      <c r="F428" s="163"/>
      <c r="G428" s="163"/>
      <c r="H428" s="163"/>
      <c r="I428" s="163"/>
      <c r="J428" s="163"/>
      <c r="K428" s="163"/>
      <c r="L428" s="163"/>
      <c r="M428" s="163"/>
      <c r="N428" s="163"/>
      <c r="O428" s="163"/>
      <c r="P428" s="163"/>
      <c r="Q428" s="162"/>
      <c r="R428" s="162"/>
      <c r="S428" s="162"/>
      <c r="T428" s="163"/>
      <c r="U428" s="162"/>
      <c r="V428" s="162"/>
      <c r="W428" s="162"/>
      <c r="X428" s="162"/>
      <c r="Y428" s="162"/>
      <c r="Z428" s="162"/>
      <c r="AA428" s="162"/>
      <c r="AB428" s="162"/>
      <c r="AC428" s="162"/>
      <c r="AD428" s="162"/>
      <c r="AE428" s="162"/>
    </row>
    <row r="429" spans="1:31" s="924" customFormat="1">
      <c r="A429" s="162"/>
      <c r="B429" s="1764"/>
      <c r="C429" s="163"/>
      <c r="D429" s="163"/>
      <c r="E429" s="163"/>
      <c r="F429" s="163"/>
      <c r="G429" s="163"/>
      <c r="H429" s="163"/>
      <c r="I429" s="163"/>
      <c r="J429" s="163"/>
      <c r="K429" s="163"/>
      <c r="L429" s="163"/>
      <c r="M429" s="163"/>
      <c r="N429" s="163"/>
      <c r="O429" s="163"/>
      <c r="P429" s="163"/>
      <c r="Q429" s="162"/>
      <c r="R429" s="162"/>
      <c r="S429" s="162"/>
      <c r="T429" s="163"/>
      <c r="U429" s="162"/>
      <c r="V429" s="162"/>
      <c r="W429" s="162"/>
      <c r="X429" s="162"/>
      <c r="Y429" s="162"/>
      <c r="Z429" s="162"/>
      <c r="AA429" s="162"/>
      <c r="AB429" s="162"/>
      <c r="AC429" s="162"/>
      <c r="AD429" s="162"/>
      <c r="AE429" s="162"/>
    </row>
    <row r="430" spans="1:31" s="924" customFormat="1">
      <c r="A430" s="162"/>
      <c r="B430" s="1764"/>
      <c r="C430" s="163"/>
      <c r="D430" s="163"/>
      <c r="E430" s="163"/>
      <c r="F430" s="163"/>
      <c r="G430" s="163"/>
      <c r="H430" s="163"/>
      <c r="I430" s="163"/>
      <c r="J430" s="163"/>
      <c r="K430" s="163"/>
      <c r="L430" s="163"/>
      <c r="M430" s="163"/>
      <c r="N430" s="163"/>
      <c r="O430" s="163"/>
      <c r="P430" s="163"/>
      <c r="Q430" s="162"/>
      <c r="R430" s="162"/>
      <c r="S430" s="162"/>
      <c r="T430" s="163"/>
      <c r="U430" s="162"/>
      <c r="V430" s="162"/>
      <c r="W430" s="162"/>
      <c r="X430" s="162"/>
      <c r="Y430" s="162"/>
      <c r="Z430" s="162"/>
      <c r="AA430" s="162"/>
      <c r="AB430" s="162"/>
      <c r="AC430" s="162"/>
      <c r="AD430" s="162"/>
      <c r="AE430" s="162"/>
    </row>
    <row r="431" spans="1:31" s="924" customFormat="1">
      <c r="A431" s="162"/>
      <c r="B431" s="1764"/>
      <c r="C431" s="163"/>
      <c r="D431" s="163"/>
      <c r="E431" s="163"/>
      <c r="F431" s="163"/>
      <c r="G431" s="163"/>
      <c r="H431" s="163"/>
      <c r="I431" s="163"/>
      <c r="J431" s="163"/>
      <c r="K431" s="163"/>
      <c r="L431" s="163"/>
      <c r="M431" s="163"/>
      <c r="N431" s="163"/>
      <c r="O431" s="163"/>
      <c r="P431" s="163"/>
      <c r="Q431" s="162"/>
      <c r="R431" s="162"/>
      <c r="S431" s="162"/>
      <c r="T431" s="163"/>
      <c r="U431" s="162"/>
      <c r="V431" s="162"/>
      <c r="W431" s="162"/>
      <c r="X431" s="162"/>
      <c r="Y431" s="162"/>
      <c r="Z431" s="162"/>
      <c r="AA431" s="162"/>
      <c r="AB431" s="162"/>
      <c r="AC431" s="162"/>
      <c r="AD431" s="162"/>
      <c r="AE431" s="162"/>
    </row>
    <row r="432" spans="1:31" s="924" customFormat="1">
      <c r="A432" s="162"/>
      <c r="B432" s="1764"/>
      <c r="C432" s="163"/>
      <c r="D432" s="163"/>
      <c r="E432" s="163"/>
      <c r="F432" s="163"/>
      <c r="G432" s="163"/>
      <c r="H432" s="163"/>
      <c r="I432" s="163"/>
      <c r="J432" s="163"/>
      <c r="K432" s="163"/>
      <c r="L432" s="163"/>
      <c r="M432" s="163"/>
      <c r="N432" s="163"/>
      <c r="O432" s="163"/>
      <c r="P432" s="163"/>
      <c r="Q432" s="162"/>
      <c r="R432" s="162"/>
      <c r="S432" s="162"/>
      <c r="T432" s="163"/>
      <c r="U432" s="162"/>
      <c r="V432" s="162"/>
      <c r="W432" s="162"/>
      <c r="X432" s="162"/>
      <c r="Y432" s="162"/>
      <c r="Z432" s="162"/>
      <c r="AA432" s="162"/>
      <c r="AB432" s="162"/>
      <c r="AC432" s="162"/>
      <c r="AD432" s="162"/>
      <c r="AE432" s="162"/>
    </row>
    <row r="433" spans="1:31" s="924" customFormat="1">
      <c r="A433" s="162"/>
      <c r="B433" s="1764"/>
      <c r="C433" s="163"/>
      <c r="D433" s="163"/>
      <c r="E433" s="163"/>
      <c r="F433" s="163"/>
      <c r="G433" s="163"/>
      <c r="H433" s="163"/>
      <c r="I433" s="163"/>
      <c r="J433" s="163"/>
      <c r="K433" s="163"/>
      <c r="L433" s="163"/>
      <c r="M433" s="163"/>
      <c r="N433" s="163"/>
      <c r="O433" s="163"/>
      <c r="P433" s="163"/>
      <c r="Q433" s="162"/>
      <c r="R433" s="162"/>
      <c r="S433" s="162"/>
      <c r="T433" s="163"/>
      <c r="U433" s="162"/>
      <c r="V433" s="162"/>
      <c r="W433" s="162"/>
      <c r="X433" s="162"/>
      <c r="Y433" s="162"/>
      <c r="Z433" s="162"/>
      <c r="AA433" s="162"/>
      <c r="AB433" s="162"/>
      <c r="AC433" s="162"/>
      <c r="AD433" s="162"/>
      <c r="AE433" s="162"/>
    </row>
    <row r="434" spans="1:31" s="924" customFormat="1">
      <c r="A434" s="162"/>
      <c r="B434" s="1764"/>
      <c r="C434" s="163"/>
      <c r="D434" s="163"/>
      <c r="E434" s="163"/>
      <c r="F434" s="163"/>
      <c r="G434" s="163"/>
      <c r="H434" s="163"/>
      <c r="I434" s="163"/>
      <c r="J434" s="163"/>
      <c r="K434" s="163"/>
      <c r="L434" s="163"/>
      <c r="M434" s="163"/>
      <c r="N434" s="163"/>
      <c r="O434" s="163"/>
      <c r="P434" s="163"/>
      <c r="Q434" s="162"/>
      <c r="R434" s="162"/>
      <c r="S434" s="162"/>
      <c r="T434" s="163"/>
      <c r="U434" s="162"/>
      <c r="V434" s="162"/>
      <c r="W434" s="162"/>
      <c r="X434" s="162"/>
      <c r="Y434" s="162"/>
      <c r="Z434" s="162"/>
      <c r="AA434" s="162"/>
      <c r="AB434" s="162"/>
      <c r="AC434" s="162"/>
      <c r="AD434" s="162"/>
      <c r="AE434" s="162"/>
    </row>
    <row r="435" spans="1:31" s="924" customFormat="1">
      <c r="A435" s="162"/>
      <c r="B435" s="1764"/>
      <c r="C435" s="163"/>
      <c r="D435" s="163"/>
      <c r="E435" s="163"/>
      <c r="F435" s="163"/>
      <c r="G435" s="163"/>
      <c r="H435" s="163"/>
      <c r="I435" s="163"/>
      <c r="J435" s="163"/>
      <c r="K435" s="163"/>
      <c r="L435" s="163"/>
      <c r="M435" s="163"/>
      <c r="N435" s="163"/>
      <c r="O435" s="163"/>
      <c r="P435" s="163"/>
      <c r="Q435" s="162"/>
      <c r="R435" s="162"/>
      <c r="S435" s="162"/>
      <c r="T435" s="163"/>
      <c r="U435" s="162"/>
      <c r="V435" s="162"/>
      <c r="W435" s="162"/>
      <c r="X435" s="162"/>
      <c r="Y435" s="162"/>
      <c r="Z435" s="162"/>
      <c r="AA435" s="162"/>
      <c r="AB435" s="162"/>
      <c r="AC435" s="162"/>
      <c r="AD435" s="162"/>
      <c r="AE435" s="162"/>
    </row>
    <row r="436" spans="1:31" s="924" customFormat="1">
      <c r="A436" s="162"/>
      <c r="B436" s="1764"/>
      <c r="C436" s="163"/>
      <c r="D436" s="163"/>
      <c r="E436" s="163"/>
      <c r="F436" s="163"/>
      <c r="G436" s="163"/>
      <c r="H436" s="163"/>
      <c r="I436" s="163"/>
      <c r="J436" s="163"/>
      <c r="K436" s="163"/>
      <c r="L436" s="163"/>
      <c r="M436" s="163"/>
      <c r="N436" s="163"/>
      <c r="O436" s="163"/>
      <c r="P436" s="163"/>
      <c r="Q436" s="162"/>
      <c r="R436" s="162"/>
      <c r="S436" s="162"/>
      <c r="T436" s="163"/>
      <c r="U436" s="162"/>
      <c r="V436" s="162"/>
      <c r="W436" s="162"/>
      <c r="X436" s="162"/>
      <c r="Y436" s="162"/>
      <c r="Z436" s="162"/>
      <c r="AA436" s="162"/>
      <c r="AB436" s="162"/>
      <c r="AC436" s="162"/>
      <c r="AD436" s="162"/>
      <c r="AE436" s="162"/>
    </row>
    <row r="437" spans="1:31" s="924" customFormat="1">
      <c r="A437" s="162"/>
      <c r="B437" s="1764"/>
      <c r="C437" s="163"/>
      <c r="D437" s="163"/>
      <c r="E437" s="163"/>
      <c r="F437" s="163"/>
      <c r="G437" s="163"/>
      <c r="H437" s="163"/>
      <c r="I437" s="163"/>
      <c r="J437" s="163"/>
      <c r="K437" s="163"/>
      <c r="L437" s="163"/>
      <c r="M437" s="163"/>
      <c r="N437" s="163"/>
      <c r="O437" s="163"/>
      <c r="P437" s="163"/>
      <c r="Q437" s="162"/>
      <c r="R437" s="162"/>
      <c r="S437" s="162"/>
      <c r="T437" s="163"/>
      <c r="U437" s="162"/>
      <c r="V437" s="162"/>
      <c r="W437" s="162"/>
      <c r="X437" s="162"/>
      <c r="Y437" s="162"/>
      <c r="Z437" s="162"/>
      <c r="AA437" s="162"/>
      <c r="AB437" s="162"/>
      <c r="AC437" s="162"/>
      <c r="AD437" s="162"/>
      <c r="AE437" s="162"/>
    </row>
    <row r="438" spans="1:31" s="924" customFormat="1">
      <c r="A438" s="162"/>
      <c r="B438" s="1764"/>
      <c r="C438" s="163"/>
      <c r="D438" s="163"/>
      <c r="E438" s="163"/>
      <c r="F438" s="163"/>
      <c r="G438" s="163"/>
      <c r="H438" s="163"/>
      <c r="I438" s="163"/>
      <c r="J438" s="163"/>
      <c r="K438" s="163"/>
      <c r="L438" s="163"/>
      <c r="M438" s="163"/>
      <c r="N438" s="163"/>
      <c r="O438" s="163"/>
      <c r="P438" s="163"/>
      <c r="Q438" s="162"/>
      <c r="R438" s="162"/>
      <c r="S438" s="162"/>
      <c r="T438" s="163"/>
      <c r="U438" s="162"/>
      <c r="V438" s="162"/>
      <c r="W438" s="162"/>
      <c r="X438" s="162"/>
      <c r="Y438" s="162"/>
      <c r="Z438" s="162"/>
      <c r="AA438" s="162"/>
      <c r="AB438" s="162"/>
      <c r="AC438" s="162"/>
      <c r="AD438" s="162"/>
      <c r="AE438" s="162"/>
    </row>
    <row r="439" spans="1:31" s="924" customFormat="1">
      <c r="A439" s="162"/>
      <c r="B439" s="1764"/>
      <c r="C439" s="163"/>
      <c r="D439" s="163"/>
      <c r="E439" s="163"/>
      <c r="F439" s="163"/>
      <c r="G439" s="163"/>
      <c r="H439" s="163"/>
      <c r="I439" s="163"/>
      <c r="J439" s="163"/>
      <c r="K439" s="163"/>
      <c r="L439" s="163"/>
      <c r="M439" s="163"/>
      <c r="N439" s="163"/>
      <c r="O439" s="163"/>
      <c r="P439" s="163"/>
      <c r="Q439" s="162"/>
      <c r="R439" s="162"/>
      <c r="S439" s="162"/>
      <c r="T439" s="163"/>
      <c r="U439" s="162"/>
      <c r="V439" s="162"/>
      <c r="W439" s="162"/>
      <c r="X439" s="162"/>
      <c r="Y439" s="162"/>
      <c r="Z439" s="162"/>
      <c r="AA439" s="162"/>
      <c r="AB439" s="162"/>
      <c r="AC439" s="162"/>
      <c r="AD439" s="162"/>
      <c r="AE439" s="162"/>
    </row>
    <row r="440" spans="1:31" s="924" customFormat="1">
      <c r="A440" s="162"/>
      <c r="B440" s="1764"/>
      <c r="C440" s="163"/>
      <c r="D440" s="163"/>
      <c r="E440" s="163"/>
      <c r="F440" s="163"/>
      <c r="G440" s="163"/>
      <c r="H440" s="163"/>
      <c r="I440" s="163"/>
      <c r="J440" s="163"/>
      <c r="K440" s="163"/>
      <c r="L440" s="163"/>
      <c r="M440" s="163"/>
      <c r="N440" s="163"/>
      <c r="O440" s="163"/>
      <c r="P440" s="163"/>
      <c r="Q440" s="162"/>
      <c r="R440" s="162"/>
      <c r="S440" s="162"/>
      <c r="T440" s="163"/>
      <c r="U440" s="162"/>
      <c r="V440" s="162"/>
      <c r="W440" s="162"/>
      <c r="X440" s="162"/>
      <c r="Y440" s="162"/>
      <c r="Z440" s="162"/>
      <c r="AA440" s="162"/>
      <c r="AB440" s="162"/>
      <c r="AC440" s="162"/>
      <c r="AD440" s="162"/>
      <c r="AE440" s="162"/>
    </row>
    <row r="441" spans="1:31" s="924" customFormat="1">
      <c r="A441" s="162"/>
      <c r="B441" s="1764"/>
      <c r="C441" s="163"/>
      <c r="D441" s="163"/>
      <c r="E441" s="163"/>
      <c r="F441" s="163"/>
      <c r="G441" s="163"/>
      <c r="H441" s="163"/>
      <c r="I441" s="163"/>
      <c r="J441" s="163"/>
      <c r="K441" s="163"/>
      <c r="L441" s="163"/>
      <c r="M441" s="163"/>
      <c r="N441" s="163"/>
      <c r="O441" s="163"/>
      <c r="P441" s="163"/>
      <c r="Q441" s="162"/>
      <c r="R441" s="162"/>
      <c r="S441" s="162"/>
      <c r="T441" s="163"/>
      <c r="U441" s="162"/>
      <c r="V441" s="162"/>
      <c r="W441" s="162"/>
      <c r="X441" s="162"/>
      <c r="Y441" s="162"/>
      <c r="Z441" s="162"/>
      <c r="AA441" s="162"/>
      <c r="AB441" s="162"/>
      <c r="AC441" s="162"/>
      <c r="AD441" s="162"/>
      <c r="AE441" s="162"/>
    </row>
    <row r="442" spans="1:31" s="924" customFormat="1">
      <c r="A442" s="162"/>
      <c r="B442" s="1764"/>
      <c r="C442" s="163"/>
      <c r="D442" s="163"/>
      <c r="E442" s="163"/>
      <c r="F442" s="163"/>
      <c r="G442" s="163"/>
      <c r="H442" s="163"/>
      <c r="I442" s="163"/>
      <c r="J442" s="163"/>
      <c r="K442" s="163"/>
      <c r="L442" s="163"/>
      <c r="M442" s="163"/>
      <c r="N442" s="163"/>
      <c r="O442" s="163"/>
      <c r="P442" s="163"/>
      <c r="Q442" s="162"/>
      <c r="R442" s="162"/>
      <c r="S442" s="162"/>
      <c r="T442" s="163"/>
      <c r="U442" s="162"/>
      <c r="V442" s="162"/>
      <c r="W442" s="162"/>
      <c r="X442" s="162"/>
      <c r="Y442" s="162"/>
      <c r="Z442" s="162"/>
      <c r="AA442" s="162"/>
      <c r="AB442" s="162"/>
      <c r="AC442" s="162"/>
      <c r="AD442" s="162"/>
      <c r="AE442" s="162"/>
    </row>
    <row r="443" spans="1:31" s="924" customFormat="1">
      <c r="A443" s="162"/>
      <c r="B443" s="1764"/>
      <c r="C443" s="163"/>
      <c r="D443" s="163"/>
      <c r="E443" s="163"/>
      <c r="F443" s="163"/>
      <c r="G443" s="163"/>
      <c r="H443" s="163"/>
      <c r="I443" s="163"/>
      <c r="J443" s="163"/>
      <c r="K443" s="163"/>
      <c r="L443" s="163"/>
      <c r="M443" s="163"/>
      <c r="N443" s="163"/>
      <c r="O443" s="163"/>
      <c r="P443" s="163"/>
      <c r="Q443" s="162"/>
      <c r="R443" s="162"/>
      <c r="S443" s="162"/>
      <c r="T443" s="163"/>
      <c r="U443" s="162"/>
      <c r="V443" s="162"/>
      <c r="W443" s="162"/>
      <c r="X443" s="162"/>
      <c r="Y443" s="162"/>
      <c r="Z443" s="162"/>
      <c r="AA443" s="162"/>
      <c r="AB443" s="162"/>
      <c r="AC443" s="162"/>
      <c r="AD443" s="162"/>
      <c r="AE443" s="162"/>
    </row>
    <row r="444" spans="1:31" s="924" customFormat="1">
      <c r="A444" s="162"/>
      <c r="B444" s="1764"/>
      <c r="C444" s="163"/>
      <c r="D444" s="163"/>
      <c r="E444" s="163"/>
      <c r="F444" s="163"/>
      <c r="G444" s="163"/>
      <c r="H444" s="163"/>
      <c r="I444" s="163"/>
      <c r="J444" s="163"/>
      <c r="K444" s="163"/>
      <c r="L444" s="163"/>
      <c r="M444" s="163"/>
      <c r="N444" s="163"/>
      <c r="O444" s="163"/>
      <c r="P444" s="163"/>
      <c r="Q444" s="162"/>
      <c r="R444" s="162"/>
      <c r="S444" s="162"/>
      <c r="T444" s="163"/>
      <c r="U444" s="162"/>
      <c r="V444" s="162"/>
      <c r="W444" s="162"/>
      <c r="X444" s="162"/>
      <c r="Y444" s="162"/>
      <c r="Z444" s="162"/>
      <c r="AA444" s="162"/>
      <c r="AB444" s="162"/>
      <c r="AC444" s="162"/>
      <c r="AD444" s="162"/>
      <c r="AE444" s="162"/>
    </row>
    <row r="445" spans="1:31" s="924" customFormat="1">
      <c r="A445" s="162"/>
      <c r="B445" s="1764"/>
      <c r="C445" s="163"/>
      <c r="D445" s="163"/>
      <c r="E445" s="163"/>
      <c r="F445" s="163"/>
      <c r="G445" s="163"/>
      <c r="H445" s="163"/>
      <c r="I445" s="163"/>
      <c r="J445" s="163"/>
      <c r="K445" s="163"/>
      <c r="L445" s="163"/>
      <c r="M445" s="163"/>
      <c r="N445" s="163"/>
      <c r="O445" s="163"/>
      <c r="P445" s="163"/>
      <c r="Q445" s="162"/>
      <c r="R445" s="162"/>
      <c r="S445" s="162"/>
      <c r="T445" s="163"/>
      <c r="U445" s="162"/>
      <c r="V445" s="162"/>
      <c r="W445" s="162"/>
      <c r="X445" s="162"/>
      <c r="Y445" s="162"/>
      <c r="Z445" s="162"/>
      <c r="AA445" s="162"/>
      <c r="AB445" s="162"/>
      <c r="AC445" s="162"/>
      <c r="AD445" s="162"/>
      <c r="AE445" s="162"/>
    </row>
    <row r="446" spans="1:31" s="924" customFormat="1">
      <c r="A446" s="162"/>
      <c r="B446" s="1764"/>
      <c r="C446" s="163"/>
      <c r="D446" s="163"/>
      <c r="E446" s="163"/>
      <c r="F446" s="163"/>
      <c r="G446" s="163"/>
      <c r="H446" s="163"/>
      <c r="I446" s="163"/>
      <c r="J446" s="163"/>
      <c r="K446" s="163"/>
      <c r="L446" s="163"/>
      <c r="M446" s="163"/>
      <c r="N446" s="163"/>
      <c r="O446" s="163"/>
      <c r="P446" s="163"/>
      <c r="Q446" s="162"/>
      <c r="R446" s="162"/>
      <c r="S446" s="162"/>
      <c r="T446" s="163"/>
      <c r="U446" s="162"/>
      <c r="V446" s="162"/>
      <c r="W446" s="162"/>
      <c r="X446" s="162"/>
      <c r="Y446" s="162"/>
      <c r="Z446" s="162"/>
      <c r="AA446" s="162"/>
      <c r="AB446" s="162"/>
      <c r="AC446" s="162"/>
      <c r="AD446" s="162"/>
      <c r="AE446" s="162"/>
    </row>
    <row r="447" spans="1:31" s="924" customFormat="1">
      <c r="A447" s="162"/>
      <c r="B447" s="1764"/>
      <c r="C447" s="163"/>
      <c r="D447" s="163"/>
      <c r="E447" s="163"/>
      <c r="F447" s="163"/>
      <c r="G447" s="163"/>
      <c r="H447" s="163"/>
      <c r="I447" s="163"/>
      <c r="J447" s="163"/>
      <c r="K447" s="163"/>
      <c r="L447" s="163"/>
      <c r="M447" s="163"/>
      <c r="N447" s="163"/>
      <c r="O447" s="163"/>
      <c r="P447" s="163"/>
      <c r="Q447" s="162"/>
      <c r="R447" s="162"/>
      <c r="S447" s="162"/>
      <c r="T447" s="163"/>
      <c r="U447" s="162"/>
      <c r="V447" s="162"/>
      <c r="W447" s="162"/>
      <c r="X447" s="162"/>
      <c r="Y447" s="162"/>
      <c r="Z447" s="162"/>
      <c r="AA447" s="162"/>
      <c r="AB447" s="162"/>
      <c r="AC447" s="162"/>
      <c r="AD447" s="162"/>
      <c r="AE447" s="162"/>
    </row>
    <row r="448" spans="1:31" s="924" customFormat="1">
      <c r="A448" s="162"/>
      <c r="B448" s="1764"/>
      <c r="C448" s="163"/>
      <c r="D448" s="163"/>
      <c r="E448" s="163"/>
      <c r="F448" s="163"/>
      <c r="G448" s="163"/>
      <c r="H448" s="163"/>
      <c r="I448" s="163"/>
      <c r="J448" s="163"/>
      <c r="K448" s="163"/>
      <c r="L448" s="163"/>
      <c r="M448" s="163"/>
      <c r="N448" s="163"/>
      <c r="O448" s="163"/>
      <c r="P448" s="163"/>
      <c r="Q448" s="162"/>
      <c r="R448" s="162"/>
      <c r="S448" s="162"/>
      <c r="T448" s="163"/>
      <c r="U448" s="162"/>
      <c r="V448" s="162"/>
      <c r="W448" s="162"/>
      <c r="X448" s="162"/>
      <c r="Y448" s="162"/>
      <c r="Z448" s="162"/>
      <c r="AA448" s="162"/>
      <c r="AB448" s="162"/>
      <c r="AC448" s="162"/>
      <c r="AD448" s="162"/>
      <c r="AE448" s="162"/>
    </row>
    <row r="449" spans="1:31" s="924" customFormat="1">
      <c r="A449" s="162"/>
      <c r="B449" s="1764"/>
      <c r="C449" s="163"/>
      <c r="D449" s="163"/>
      <c r="E449" s="163"/>
      <c r="F449" s="163"/>
      <c r="G449" s="163"/>
      <c r="H449" s="163"/>
      <c r="I449" s="163"/>
      <c r="J449" s="163"/>
      <c r="K449" s="163"/>
      <c r="L449" s="163"/>
      <c r="M449" s="163"/>
      <c r="N449" s="163"/>
      <c r="O449" s="163"/>
      <c r="P449" s="163"/>
      <c r="Q449" s="162"/>
      <c r="R449" s="162"/>
      <c r="S449" s="162"/>
      <c r="T449" s="163"/>
      <c r="U449" s="162"/>
      <c r="V449" s="162"/>
      <c r="W449" s="162"/>
      <c r="X449" s="162"/>
      <c r="Y449" s="162"/>
      <c r="Z449" s="162"/>
      <c r="AA449" s="162"/>
      <c r="AB449" s="162"/>
      <c r="AC449" s="162"/>
      <c r="AD449" s="162"/>
      <c r="AE449" s="162"/>
    </row>
    <row r="450" spans="1:31" s="924" customFormat="1">
      <c r="A450" s="162"/>
      <c r="B450" s="1764"/>
      <c r="C450" s="163"/>
      <c r="D450" s="163"/>
      <c r="E450" s="163"/>
      <c r="F450" s="163"/>
      <c r="G450" s="163"/>
      <c r="H450" s="163"/>
      <c r="I450" s="163"/>
      <c r="J450" s="163"/>
      <c r="K450" s="163"/>
      <c r="L450" s="163"/>
      <c r="M450" s="163"/>
      <c r="N450" s="163"/>
      <c r="O450" s="163"/>
      <c r="P450" s="163"/>
      <c r="Q450" s="162"/>
      <c r="R450" s="162"/>
      <c r="S450" s="162"/>
      <c r="T450" s="163"/>
      <c r="U450" s="162"/>
      <c r="V450" s="162"/>
      <c r="W450" s="162"/>
      <c r="X450" s="162"/>
      <c r="Y450" s="162"/>
      <c r="Z450" s="162"/>
      <c r="AA450" s="162"/>
      <c r="AB450" s="162"/>
      <c r="AC450" s="162"/>
      <c r="AD450" s="162"/>
      <c r="AE450" s="162"/>
    </row>
    <row r="451" spans="1:31" s="924" customFormat="1">
      <c r="A451" s="162"/>
      <c r="B451" s="1764"/>
      <c r="C451" s="163"/>
      <c r="D451" s="163"/>
      <c r="E451" s="163"/>
      <c r="F451" s="163"/>
      <c r="G451" s="163"/>
      <c r="H451" s="163"/>
      <c r="I451" s="163"/>
      <c r="J451" s="163"/>
      <c r="K451" s="163"/>
      <c r="L451" s="163"/>
      <c r="M451" s="163"/>
      <c r="N451" s="163"/>
      <c r="O451" s="163"/>
      <c r="P451" s="163"/>
      <c r="Q451" s="162"/>
      <c r="R451" s="162"/>
      <c r="S451" s="162"/>
      <c r="T451" s="163"/>
      <c r="U451" s="162"/>
      <c r="V451" s="162"/>
      <c r="W451" s="162"/>
      <c r="X451" s="162"/>
      <c r="Y451" s="162"/>
      <c r="Z451" s="162"/>
      <c r="AA451" s="162"/>
      <c r="AB451" s="162"/>
      <c r="AC451" s="162"/>
      <c r="AD451" s="162"/>
      <c r="AE451" s="162"/>
    </row>
    <row r="452" spans="1:31" s="924" customFormat="1">
      <c r="A452" s="162"/>
      <c r="B452" s="1764"/>
      <c r="C452" s="163"/>
      <c r="D452" s="163"/>
      <c r="E452" s="163"/>
      <c r="F452" s="163"/>
      <c r="G452" s="163"/>
      <c r="H452" s="163"/>
      <c r="I452" s="163"/>
      <c r="J452" s="163"/>
      <c r="K452" s="163"/>
      <c r="L452" s="163"/>
      <c r="M452" s="163"/>
      <c r="N452" s="163"/>
      <c r="O452" s="163"/>
      <c r="P452" s="163"/>
      <c r="Q452" s="162"/>
      <c r="R452" s="162"/>
      <c r="S452" s="162"/>
      <c r="T452" s="163"/>
      <c r="U452" s="162"/>
      <c r="V452" s="162"/>
      <c r="W452" s="162"/>
      <c r="X452" s="162"/>
      <c r="Y452" s="162"/>
      <c r="Z452" s="162"/>
      <c r="AA452" s="162"/>
      <c r="AB452" s="162"/>
      <c r="AC452" s="162"/>
      <c r="AD452" s="162"/>
      <c r="AE452" s="162"/>
    </row>
    <row r="453" spans="1:31" s="924" customFormat="1">
      <c r="A453" s="162"/>
      <c r="B453" s="1764"/>
      <c r="C453" s="163"/>
      <c r="D453" s="163"/>
      <c r="E453" s="163"/>
      <c r="F453" s="163"/>
      <c r="G453" s="163"/>
      <c r="H453" s="163"/>
      <c r="I453" s="163"/>
      <c r="J453" s="163"/>
      <c r="K453" s="163"/>
      <c r="L453" s="163"/>
      <c r="M453" s="163"/>
      <c r="N453" s="163"/>
      <c r="O453" s="163"/>
      <c r="P453" s="163"/>
      <c r="Q453" s="162"/>
      <c r="R453" s="162"/>
      <c r="S453" s="162"/>
      <c r="T453" s="163"/>
      <c r="U453" s="162"/>
      <c r="V453" s="162"/>
      <c r="W453" s="162"/>
      <c r="X453" s="162"/>
      <c r="Y453" s="162"/>
      <c r="Z453" s="162"/>
      <c r="AA453" s="162"/>
      <c r="AB453" s="162"/>
      <c r="AC453" s="162"/>
      <c r="AD453" s="162"/>
      <c r="AE453" s="162"/>
    </row>
    <row r="454" spans="1:31" s="924" customFormat="1">
      <c r="A454" s="162"/>
      <c r="B454" s="1764"/>
      <c r="C454" s="163"/>
      <c r="D454" s="163"/>
      <c r="E454" s="163"/>
      <c r="F454" s="163"/>
      <c r="G454" s="163"/>
      <c r="H454" s="163"/>
      <c r="I454" s="163"/>
      <c r="J454" s="163"/>
      <c r="K454" s="163"/>
      <c r="L454" s="163"/>
      <c r="M454" s="163"/>
      <c r="N454" s="163"/>
      <c r="O454" s="163"/>
      <c r="P454" s="163"/>
      <c r="Q454" s="162"/>
      <c r="R454" s="162"/>
      <c r="S454" s="162"/>
      <c r="T454" s="163"/>
      <c r="U454" s="162"/>
      <c r="V454" s="162"/>
      <c r="W454" s="162"/>
      <c r="X454" s="162"/>
      <c r="Y454" s="162"/>
      <c r="Z454" s="162"/>
      <c r="AA454" s="162"/>
      <c r="AB454" s="162"/>
      <c r="AC454" s="162"/>
      <c r="AD454" s="162"/>
      <c r="AE454" s="162"/>
    </row>
    <row r="455" spans="1:31" s="924" customFormat="1">
      <c r="A455" s="162"/>
      <c r="B455" s="1764"/>
      <c r="C455" s="163"/>
      <c r="D455" s="163"/>
      <c r="E455" s="163"/>
      <c r="F455" s="163"/>
      <c r="G455" s="163"/>
      <c r="H455" s="163"/>
      <c r="I455" s="163"/>
      <c r="J455" s="163"/>
      <c r="K455" s="163"/>
      <c r="L455" s="163"/>
      <c r="M455" s="163"/>
      <c r="N455" s="163"/>
      <c r="O455" s="163"/>
      <c r="P455" s="163"/>
      <c r="Q455" s="162"/>
      <c r="R455" s="162"/>
      <c r="S455" s="162"/>
      <c r="T455" s="163"/>
      <c r="U455" s="162"/>
      <c r="V455" s="162"/>
      <c r="W455" s="162"/>
      <c r="X455" s="162"/>
      <c r="Y455" s="162"/>
      <c r="Z455" s="162"/>
      <c r="AA455" s="162"/>
      <c r="AB455" s="162"/>
      <c r="AC455" s="162"/>
      <c r="AD455" s="162"/>
      <c r="AE455" s="162"/>
    </row>
    <row r="456" spans="1:31" s="924" customFormat="1">
      <c r="A456" s="162"/>
      <c r="B456" s="1764"/>
      <c r="C456" s="163"/>
      <c r="D456" s="163"/>
      <c r="E456" s="163"/>
      <c r="F456" s="163"/>
      <c r="G456" s="163"/>
      <c r="H456" s="163"/>
      <c r="I456" s="163"/>
      <c r="J456" s="163"/>
      <c r="K456" s="163"/>
      <c r="L456" s="163"/>
      <c r="M456" s="163"/>
      <c r="N456" s="163"/>
      <c r="O456" s="163"/>
      <c r="P456" s="163"/>
      <c r="Q456" s="162"/>
      <c r="R456" s="162"/>
      <c r="S456" s="162"/>
      <c r="T456" s="163"/>
      <c r="U456" s="162"/>
      <c r="V456" s="162"/>
      <c r="W456" s="162"/>
      <c r="X456" s="162"/>
      <c r="Y456" s="162"/>
      <c r="Z456" s="162"/>
      <c r="AA456" s="162"/>
      <c r="AB456" s="162"/>
      <c r="AC456" s="162"/>
      <c r="AD456" s="162"/>
      <c r="AE456" s="162"/>
    </row>
    <row r="457" spans="1:31" s="924" customFormat="1">
      <c r="A457" s="162"/>
      <c r="B457" s="1764"/>
      <c r="C457" s="163"/>
      <c r="D457" s="163"/>
      <c r="E457" s="163"/>
      <c r="F457" s="163"/>
      <c r="G457" s="163"/>
      <c r="H457" s="163"/>
      <c r="I457" s="163"/>
      <c r="J457" s="163"/>
      <c r="K457" s="163"/>
      <c r="L457" s="163"/>
      <c r="M457" s="163"/>
      <c r="N457" s="163"/>
      <c r="O457" s="163"/>
      <c r="P457" s="163"/>
      <c r="Q457" s="162"/>
      <c r="R457" s="162"/>
      <c r="S457" s="162"/>
      <c r="T457" s="163"/>
      <c r="U457" s="162"/>
      <c r="V457" s="162"/>
      <c r="W457" s="162"/>
      <c r="X457" s="162"/>
      <c r="Y457" s="162"/>
      <c r="Z457" s="162"/>
      <c r="AA457" s="162"/>
      <c r="AB457" s="162"/>
      <c r="AC457" s="162"/>
      <c r="AD457" s="162"/>
      <c r="AE457" s="162"/>
    </row>
    <row r="458" spans="1:31" s="924" customFormat="1">
      <c r="A458" s="162"/>
      <c r="B458" s="1764"/>
      <c r="C458" s="163"/>
      <c r="D458" s="163"/>
      <c r="E458" s="163"/>
      <c r="F458" s="163"/>
      <c r="G458" s="163"/>
      <c r="H458" s="163"/>
      <c r="I458" s="163"/>
      <c r="J458" s="163"/>
      <c r="K458" s="163"/>
      <c r="L458" s="163"/>
      <c r="M458" s="163"/>
      <c r="N458" s="163"/>
      <c r="O458" s="163"/>
      <c r="P458" s="163"/>
      <c r="Q458" s="162"/>
      <c r="R458" s="162"/>
      <c r="S458" s="162"/>
      <c r="T458" s="163"/>
      <c r="U458" s="162"/>
      <c r="V458" s="162"/>
      <c r="W458" s="162"/>
      <c r="X458" s="162"/>
      <c r="Y458" s="162"/>
      <c r="Z458" s="162"/>
      <c r="AA458" s="162"/>
      <c r="AB458" s="162"/>
      <c r="AC458" s="162"/>
      <c r="AD458" s="162"/>
      <c r="AE458" s="162"/>
    </row>
    <row r="459" spans="1:31" s="924" customFormat="1">
      <c r="A459" s="162"/>
      <c r="B459" s="1764"/>
      <c r="C459" s="163"/>
      <c r="D459" s="163"/>
      <c r="E459" s="163"/>
      <c r="F459" s="163"/>
      <c r="G459" s="163"/>
      <c r="H459" s="163"/>
      <c r="I459" s="163"/>
      <c r="J459" s="163"/>
      <c r="K459" s="163"/>
      <c r="L459" s="163"/>
      <c r="M459" s="163"/>
      <c r="N459" s="163"/>
      <c r="O459" s="163"/>
      <c r="P459" s="163"/>
      <c r="Q459" s="162"/>
      <c r="R459" s="162"/>
      <c r="S459" s="162"/>
      <c r="T459" s="163"/>
      <c r="U459" s="162"/>
      <c r="V459" s="162"/>
      <c r="W459" s="162"/>
      <c r="X459" s="162"/>
      <c r="Y459" s="162"/>
      <c r="Z459" s="162"/>
      <c r="AA459" s="162"/>
      <c r="AB459" s="162"/>
      <c r="AC459" s="162"/>
      <c r="AD459" s="162"/>
      <c r="AE459" s="162"/>
    </row>
    <row r="460" spans="1:31" s="924" customFormat="1">
      <c r="A460" s="162"/>
      <c r="B460" s="1764"/>
      <c r="C460" s="163"/>
      <c r="D460" s="163"/>
      <c r="E460" s="163"/>
      <c r="F460" s="163"/>
      <c r="G460" s="163"/>
      <c r="H460" s="163"/>
      <c r="I460" s="163"/>
      <c r="J460" s="163"/>
      <c r="K460" s="163"/>
      <c r="L460" s="163"/>
      <c r="M460" s="163"/>
      <c r="N460" s="163"/>
      <c r="O460" s="163"/>
      <c r="P460" s="163"/>
      <c r="Q460" s="162"/>
      <c r="R460" s="162"/>
      <c r="S460" s="162"/>
      <c r="T460" s="163"/>
      <c r="U460" s="162"/>
      <c r="V460" s="162"/>
      <c r="W460" s="162"/>
      <c r="X460" s="162"/>
      <c r="Y460" s="162"/>
      <c r="Z460" s="162"/>
      <c r="AA460" s="162"/>
      <c r="AB460" s="162"/>
      <c r="AC460" s="162"/>
      <c r="AD460" s="162"/>
      <c r="AE460" s="162"/>
    </row>
    <row r="461" spans="1:31" s="924" customFormat="1">
      <c r="A461" s="162"/>
      <c r="B461" s="1764"/>
      <c r="C461" s="163"/>
      <c r="D461" s="163"/>
      <c r="E461" s="163"/>
      <c r="F461" s="163"/>
      <c r="G461" s="163"/>
      <c r="H461" s="163"/>
      <c r="I461" s="163"/>
      <c r="J461" s="163"/>
      <c r="K461" s="163"/>
      <c r="L461" s="163"/>
      <c r="M461" s="163"/>
      <c r="N461" s="163"/>
      <c r="O461" s="163"/>
      <c r="P461" s="163"/>
      <c r="Q461" s="162"/>
      <c r="R461" s="162"/>
      <c r="S461" s="162"/>
      <c r="T461" s="163"/>
      <c r="U461" s="162"/>
      <c r="V461" s="162"/>
      <c r="W461" s="162"/>
      <c r="X461" s="162"/>
      <c r="Y461" s="162"/>
      <c r="Z461" s="162"/>
      <c r="AA461" s="162"/>
      <c r="AB461" s="162"/>
      <c r="AC461" s="162"/>
      <c r="AD461" s="162"/>
      <c r="AE461" s="162"/>
    </row>
    <row r="462" spans="1:31" s="924" customFormat="1">
      <c r="A462" s="162"/>
      <c r="B462" s="1764"/>
      <c r="C462" s="163"/>
      <c r="D462" s="163"/>
      <c r="E462" s="163"/>
      <c r="F462" s="163"/>
      <c r="G462" s="163"/>
      <c r="H462" s="163"/>
      <c r="I462" s="163"/>
      <c r="J462" s="163"/>
      <c r="K462" s="163"/>
      <c r="L462" s="163"/>
      <c r="M462" s="163"/>
      <c r="N462" s="163"/>
      <c r="O462" s="163"/>
      <c r="P462" s="163"/>
      <c r="Q462" s="162"/>
      <c r="R462" s="162"/>
      <c r="S462" s="162"/>
      <c r="T462" s="163"/>
      <c r="U462" s="162"/>
      <c r="V462" s="162"/>
      <c r="W462" s="162"/>
      <c r="X462" s="162"/>
      <c r="Y462" s="162"/>
      <c r="Z462" s="162"/>
      <c r="AA462" s="162"/>
      <c r="AB462" s="162"/>
      <c r="AC462" s="162"/>
      <c r="AD462" s="162"/>
      <c r="AE462" s="162"/>
    </row>
    <row r="463" spans="1:31" s="924" customFormat="1">
      <c r="A463" s="162"/>
      <c r="B463" s="1764"/>
      <c r="C463" s="163"/>
      <c r="D463" s="163"/>
      <c r="E463" s="163"/>
      <c r="F463" s="163"/>
      <c r="G463" s="163"/>
      <c r="H463" s="163"/>
      <c r="I463" s="163"/>
      <c r="J463" s="163"/>
      <c r="K463" s="163"/>
      <c r="L463" s="163"/>
      <c r="M463" s="163"/>
      <c r="N463" s="163"/>
      <c r="O463" s="163"/>
      <c r="P463" s="163"/>
      <c r="Q463" s="162"/>
      <c r="R463" s="162"/>
      <c r="S463" s="162"/>
      <c r="T463" s="163"/>
      <c r="U463" s="162"/>
      <c r="V463" s="162"/>
      <c r="W463" s="162"/>
      <c r="X463" s="162"/>
      <c r="Y463" s="162"/>
      <c r="Z463" s="162"/>
      <c r="AA463" s="162"/>
      <c r="AB463" s="162"/>
      <c r="AC463" s="162"/>
      <c r="AD463" s="162"/>
      <c r="AE463" s="162"/>
    </row>
    <row r="464" spans="1:31" s="924" customFormat="1">
      <c r="A464" s="162"/>
      <c r="B464" s="1764"/>
      <c r="C464" s="163"/>
      <c r="D464" s="163"/>
      <c r="E464" s="163"/>
      <c r="F464" s="163"/>
      <c r="G464" s="163"/>
      <c r="H464" s="163"/>
      <c r="I464" s="163"/>
      <c r="J464" s="163"/>
      <c r="K464" s="163"/>
      <c r="L464" s="163"/>
      <c r="M464" s="163"/>
      <c r="N464" s="163"/>
      <c r="O464" s="163"/>
      <c r="P464" s="163"/>
      <c r="Q464" s="162"/>
      <c r="R464" s="162"/>
      <c r="S464" s="162"/>
      <c r="T464" s="163"/>
      <c r="U464" s="162"/>
      <c r="V464" s="162"/>
      <c r="W464" s="162"/>
      <c r="X464" s="162"/>
      <c r="Y464" s="162"/>
      <c r="Z464" s="162"/>
      <c r="AA464" s="162"/>
      <c r="AB464" s="162"/>
      <c r="AC464" s="162"/>
      <c r="AD464" s="162"/>
      <c r="AE464" s="162"/>
    </row>
    <row r="465" spans="1:31" s="924" customFormat="1">
      <c r="A465" s="162"/>
      <c r="B465" s="1764"/>
      <c r="C465" s="163"/>
      <c r="D465" s="163"/>
      <c r="E465" s="163"/>
      <c r="F465" s="163"/>
      <c r="G465" s="163"/>
      <c r="H465" s="163"/>
      <c r="I465" s="163"/>
      <c r="J465" s="163"/>
      <c r="K465" s="163"/>
      <c r="L465" s="163"/>
      <c r="M465" s="163"/>
      <c r="N465" s="163"/>
      <c r="O465" s="163"/>
      <c r="P465" s="163"/>
      <c r="Q465" s="162"/>
      <c r="R465" s="162"/>
      <c r="S465" s="162"/>
      <c r="T465" s="163"/>
      <c r="U465" s="162"/>
      <c r="V465" s="162"/>
      <c r="W465" s="162"/>
      <c r="X465" s="162"/>
      <c r="Y465" s="162"/>
      <c r="Z465" s="162"/>
      <c r="AA465" s="162"/>
      <c r="AB465" s="162"/>
      <c r="AC465" s="162"/>
      <c r="AD465" s="162"/>
      <c r="AE465" s="162"/>
    </row>
    <row r="466" spans="1:31" s="924" customFormat="1">
      <c r="A466" s="162"/>
      <c r="B466" s="1764"/>
      <c r="C466" s="163"/>
      <c r="D466" s="163"/>
      <c r="E466" s="163"/>
      <c r="F466" s="163"/>
      <c r="G466" s="163"/>
      <c r="H466" s="163"/>
      <c r="I466" s="163"/>
      <c r="J466" s="163"/>
      <c r="K466" s="163"/>
      <c r="L466" s="163"/>
      <c r="M466" s="163"/>
      <c r="N466" s="163"/>
      <c r="O466" s="163"/>
      <c r="P466" s="163"/>
      <c r="Q466" s="162"/>
      <c r="R466" s="162"/>
      <c r="S466" s="162"/>
      <c r="T466" s="163"/>
      <c r="U466" s="162"/>
      <c r="V466" s="162"/>
      <c r="W466" s="162"/>
      <c r="X466" s="162"/>
      <c r="Y466" s="162"/>
      <c r="Z466" s="162"/>
      <c r="AA466" s="162"/>
      <c r="AB466" s="162"/>
      <c r="AC466" s="162"/>
      <c r="AD466" s="162"/>
      <c r="AE466" s="162"/>
    </row>
    <row r="467" spans="1:31" s="924" customFormat="1">
      <c r="A467" s="162"/>
      <c r="B467" s="1764"/>
      <c r="C467" s="163"/>
      <c r="D467" s="163"/>
      <c r="E467" s="163"/>
      <c r="F467" s="163"/>
      <c r="G467" s="163"/>
      <c r="H467" s="163"/>
      <c r="I467" s="163"/>
      <c r="J467" s="163"/>
      <c r="K467" s="163"/>
      <c r="L467" s="163"/>
      <c r="M467" s="163"/>
      <c r="N467" s="163"/>
      <c r="O467" s="163"/>
      <c r="P467" s="163"/>
      <c r="Q467" s="162"/>
      <c r="R467" s="162"/>
      <c r="S467" s="162"/>
      <c r="T467" s="163"/>
      <c r="U467" s="162"/>
      <c r="V467" s="162"/>
      <c r="W467" s="162"/>
      <c r="X467" s="162"/>
      <c r="Y467" s="162"/>
      <c r="Z467" s="162"/>
      <c r="AA467" s="162"/>
      <c r="AB467" s="162"/>
      <c r="AC467" s="162"/>
      <c r="AD467" s="162"/>
      <c r="AE467" s="162"/>
    </row>
    <row r="468" spans="1:31" s="924" customFormat="1">
      <c r="A468" s="162"/>
      <c r="B468" s="1764"/>
      <c r="C468" s="163"/>
      <c r="D468" s="163"/>
      <c r="E468" s="163"/>
      <c r="F468" s="163"/>
      <c r="G468" s="163"/>
      <c r="H468" s="163"/>
      <c r="I468" s="163"/>
      <c r="J468" s="163"/>
      <c r="K468" s="163"/>
      <c r="L468" s="163"/>
      <c r="M468" s="163"/>
      <c r="N468" s="163"/>
      <c r="O468" s="163"/>
      <c r="P468" s="163"/>
      <c r="Q468" s="162"/>
      <c r="R468" s="162"/>
      <c r="S468" s="162"/>
      <c r="T468" s="163"/>
      <c r="U468" s="162"/>
      <c r="V468" s="162"/>
      <c r="W468" s="162"/>
      <c r="X468" s="162"/>
      <c r="Y468" s="162"/>
      <c r="Z468" s="162"/>
      <c r="AA468" s="162"/>
      <c r="AB468" s="162"/>
      <c r="AC468" s="162"/>
      <c r="AD468" s="162"/>
      <c r="AE468" s="162"/>
    </row>
    <row r="469" spans="1:31" s="924" customFormat="1">
      <c r="A469" s="162"/>
      <c r="B469" s="1764"/>
      <c r="C469" s="163"/>
      <c r="D469" s="163"/>
      <c r="E469" s="163"/>
      <c r="F469" s="163"/>
      <c r="G469" s="163"/>
      <c r="H469" s="163"/>
      <c r="I469" s="163"/>
      <c r="J469" s="163"/>
      <c r="K469" s="163"/>
      <c r="L469" s="163"/>
      <c r="M469" s="163"/>
      <c r="N469" s="163"/>
      <c r="O469" s="163"/>
      <c r="P469" s="163"/>
      <c r="Q469" s="162"/>
      <c r="R469" s="162"/>
      <c r="S469" s="162"/>
      <c r="T469" s="163"/>
      <c r="U469" s="162"/>
      <c r="V469" s="162"/>
      <c r="W469" s="162"/>
      <c r="X469" s="162"/>
      <c r="Y469" s="162"/>
      <c r="Z469" s="162"/>
      <c r="AA469" s="162"/>
      <c r="AB469" s="162"/>
      <c r="AC469" s="162"/>
      <c r="AD469" s="162"/>
      <c r="AE469" s="162"/>
    </row>
    <row r="470" spans="1:31" s="924" customFormat="1">
      <c r="A470" s="162"/>
      <c r="B470" s="1764"/>
      <c r="C470" s="163"/>
      <c r="D470" s="163"/>
      <c r="E470" s="163"/>
      <c r="F470" s="163"/>
      <c r="G470" s="163"/>
      <c r="H470" s="163"/>
      <c r="I470" s="163"/>
      <c r="J470" s="163"/>
      <c r="K470" s="163"/>
      <c r="L470" s="163"/>
      <c r="M470" s="163"/>
      <c r="N470" s="163"/>
      <c r="O470" s="163"/>
      <c r="P470" s="163"/>
      <c r="Q470" s="162"/>
      <c r="R470" s="162"/>
      <c r="S470" s="162"/>
      <c r="T470" s="163"/>
      <c r="U470" s="162"/>
      <c r="V470" s="162"/>
      <c r="W470" s="162"/>
      <c r="X470" s="162"/>
      <c r="Y470" s="162"/>
      <c r="Z470" s="162"/>
      <c r="AA470" s="162"/>
      <c r="AB470" s="162"/>
      <c r="AC470" s="162"/>
      <c r="AD470" s="162"/>
      <c r="AE470" s="162"/>
    </row>
    <row r="471" spans="1:31" s="924" customFormat="1">
      <c r="A471" s="162"/>
      <c r="B471" s="1764"/>
      <c r="C471" s="163"/>
      <c r="D471" s="163"/>
      <c r="E471" s="163"/>
      <c r="F471" s="163"/>
      <c r="G471" s="163"/>
      <c r="H471" s="163"/>
      <c r="I471" s="163"/>
      <c r="J471" s="163"/>
      <c r="K471" s="163"/>
      <c r="L471" s="163"/>
      <c r="M471" s="163"/>
      <c r="N471" s="163"/>
      <c r="O471" s="163"/>
      <c r="P471" s="163"/>
      <c r="Q471" s="162"/>
      <c r="R471" s="162"/>
      <c r="S471" s="162"/>
      <c r="T471" s="163"/>
      <c r="U471" s="162"/>
      <c r="V471" s="162"/>
      <c r="W471" s="162"/>
      <c r="X471" s="162"/>
      <c r="Y471" s="162"/>
      <c r="Z471" s="162"/>
      <c r="AA471" s="162"/>
      <c r="AB471" s="162"/>
      <c r="AC471" s="162"/>
      <c r="AD471" s="162"/>
      <c r="AE471" s="162"/>
    </row>
    <row r="472" spans="1:31" s="924" customFormat="1">
      <c r="A472" s="162"/>
      <c r="B472" s="1764"/>
      <c r="C472" s="163"/>
      <c r="D472" s="163"/>
      <c r="E472" s="163"/>
      <c r="F472" s="163"/>
      <c r="G472" s="163"/>
      <c r="H472" s="163"/>
      <c r="I472" s="163"/>
      <c r="J472" s="163"/>
      <c r="K472" s="163"/>
      <c r="L472" s="163"/>
      <c r="M472" s="163"/>
      <c r="N472" s="163"/>
      <c r="O472" s="163"/>
      <c r="P472" s="163"/>
      <c r="Q472" s="162"/>
      <c r="R472" s="162"/>
      <c r="S472" s="162"/>
      <c r="T472" s="163"/>
      <c r="U472" s="162"/>
      <c r="V472" s="162"/>
      <c r="W472" s="162"/>
      <c r="X472" s="162"/>
      <c r="Y472" s="162"/>
      <c r="Z472" s="162"/>
      <c r="AA472" s="162"/>
      <c r="AB472" s="162"/>
      <c r="AC472" s="162"/>
      <c r="AD472" s="162"/>
      <c r="AE472" s="162"/>
    </row>
    <row r="473" spans="1:31" s="924" customFormat="1">
      <c r="A473" s="162"/>
      <c r="B473" s="1764"/>
      <c r="C473" s="163"/>
      <c r="D473" s="163"/>
      <c r="E473" s="163"/>
      <c r="F473" s="163"/>
      <c r="G473" s="163"/>
      <c r="H473" s="163"/>
      <c r="I473" s="163"/>
      <c r="J473" s="163"/>
      <c r="K473" s="163"/>
      <c r="L473" s="163"/>
      <c r="M473" s="163"/>
      <c r="N473" s="163"/>
      <c r="O473" s="163"/>
      <c r="P473" s="163"/>
      <c r="Q473" s="162"/>
      <c r="R473" s="162"/>
      <c r="S473" s="162"/>
      <c r="T473" s="163"/>
      <c r="U473" s="162"/>
      <c r="V473" s="162"/>
      <c r="W473" s="162"/>
      <c r="X473" s="162"/>
      <c r="Y473" s="162"/>
      <c r="Z473" s="162"/>
      <c r="AA473" s="162"/>
      <c r="AB473" s="162"/>
      <c r="AC473" s="162"/>
      <c r="AD473" s="162"/>
      <c r="AE473" s="162"/>
    </row>
    <row r="474" spans="1:31" s="924" customFormat="1">
      <c r="A474" s="162"/>
      <c r="B474" s="1764"/>
      <c r="C474" s="163"/>
      <c r="D474" s="163"/>
      <c r="E474" s="163"/>
      <c r="F474" s="163"/>
      <c r="G474" s="163"/>
      <c r="H474" s="163"/>
      <c r="I474" s="163"/>
      <c r="J474" s="163"/>
      <c r="K474" s="163"/>
      <c r="L474" s="163"/>
      <c r="M474" s="163"/>
      <c r="N474" s="163"/>
      <c r="O474" s="163"/>
      <c r="P474" s="163"/>
      <c r="Q474" s="162"/>
      <c r="R474" s="162"/>
      <c r="S474" s="162"/>
      <c r="T474" s="163"/>
      <c r="U474" s="162"/>
      <c r="V474" s="162"/>
      <c r="W474" s="162"/>
      <c r="X474" s="162"/>
      <c r="Y474" s="162"/>
      <c r="Z474" s="162"/>
      <c r="AA474" s="162"/>
      <c r="AB474" s="162"/>
      <c r="AC474" s="162"/>
      <c r="AD474" s="162"/>
      <c r="AE474" s="162"/>
    </row>
    <row r="475" spans="1:31" s="924" customFormat="1">
      <c r="A475" s="162"/>
      <c r="B475" s="1764"/>
      <c r="C475" s="163"/>
      <c r="D475" s="163"/>
      <c r="E475" s="163"/>
      <c r="F475" s="163"/>
      <c r="G475" s="163"/>
      <c r="H475" s="163"/>
      <c r="I475" s="163"/>
      <c r="J475" s="163"/>
      <c r="K475" s="163"/>
      <c r="L475" s="163"/>
      <c r="M475" s="163"/>
      <c r="N475" s="163"/>
      <c r="O475" s="163"/>
      <c r="P475" s="163"/>
      <c r="Q475" s="162"/>
      <c r="R475" s="162"/>
      <c r="S475" s="162"/>
      <c r="T475" s="163"/>
      <c r="U475" s="162"/>
      <c r="V475" s="162"/>
      <c r="W475" s="162"/>
      <c r="X475" s="162"/>
      <c r="Y475" s="162"/>
      <c r="Z475" s="162"/>
      <c r="AA475" s="162"/>
      <c r="AB475" s="162"/>
      <c r="AC475" s="162"/>
      <c r="AD475" s="162"/>
      <c r="AE475" s="162"/>
    </row>
    <row r="476" spans="1:31" s="924" customFormat="1">
      <c r="A476" s="162"/>
      <c r="B476" s="1764"/>
      <c r="C476" s="163"/>
      <c r="D476" s="163"/>
      <c r="E476" s="163"/>
      <c r="F476" s="163"/>
      <c r="G476" s="163"/>
      <c r="H476" s="163"/>
      <c r="I476" s="163"/>
      <c r="J476" s="163"/>
      <c r="K476" s="163"/>
      <c r="L476" s="163"/>
      <c r="M476" s="163"/>
      <c r="N476" s="163"/>
      <c r="O476" s="163"/>
      <c r="P476" s="163"/>
      <c r="Q476" s="162"/>
      <c r="R476" s="162"/>
      <c r="S476" s="162"/>
      <c r="T476" s="163"/>
      <c r="U476" s="162"/>
      <c r="V476" s="162"/>
      <c r="W476" s="162"/>
      <c r="X476" s="162"/>
      <c r="Y476" s="162"/>
      <c r="Z476" s="162"/>
      <c r="AA476" s="162"/>
      <c r="AB476" s="162"/>
      <c r="AC476" s="162"/>
      <c r="AD476" s="162"/>
      <c r="AE476" s="162"/>
    </row>
    <row r="477" spans="1:31" s="924" customFormat="1">
      <c r="A477" s="162"/>
      <c r="B477" s="1764"/>
      <c r="C477" s="163"/>
      <c r="D477" s="163"/>
      <c r="E477" s="163"/>
      <c r="F477" s="163"/>
      <c r="G477" s="163"/>
      <c r="H477" s="163"/>
      <c r="I477" s="163"/>
      <c r="J477" s="163"/>
      <c r="K477" s="163"/>
      <c r="L477" s="163"/>
      <c r="M477" s="163"/>
      <c r="N477" s="163"/>
      <c r="O477" s="163"/>
      <c r="P477" s="163"/>
      <c r="Q477" s="162"/>
      <c r="R477" s="162"/>
      <c r="S477" s="162"/>
      <c r="T477" s="163"/>
      <c r="U477" s="162"/>
      <c r="V477" s="162"/>
      <c r="W477" s="162"/>
      <c r="X477" s="162"/>
      <c r="Y477" s="162"/>
      <c r="Z477" s="162"/>
      <c r="AA477" s="162"/>
      <c r="AB477" s="162"/>
      <c r="AC477" s="162"/>
      <c r="AD477" s="162"/>
      <c r="AE477" s="162"/>
    </row>
    <row r="478" spans="1:31" s="924" customFormat="1">
      <c r="A478" s="162"/>
      <c r="B478" s="1764"/>
      <c r="C478" s="163"/>
      <c r="D478" s="163"/>
      <c r="E478" s="163"/>
      <c r="F478" s="163"/>
      <c r="G478" s="163"/>
      <c r="H478" s="163"/>
      <c r="I478" s="163"/>
      <c r="J478" s="163"/>
      <c r="K478" s="163"/>
      <c r="L478" s="163"/>
      <c r="M478" s="163"/>
      <c r="N478" s="163"/>
      <c r="O478" s="163"/>
      <c r="P478" s="163"/>
      <c r="Q478" s="162"/>
      <c r="R478" s="162"/>
      <c r="S478" s="162"/>
      <c r="T478" s="163"/>
      <c r="U478" s="162"/>
      <c r="V478" s="162"/>
      <c r="W478" s="162"/>
      <c r="X478" s="162"/>
      <c r="Y478" s="162"/>
      <c r="Z478" s="162"/>
      <c r="AA478" s="162"/>
      <c r="AB478" s="162"/>
      <c r="AC478" s="162"/>
      <c r="AD478" s="162"/>
      <c r="AE478" s="162"/>
    </row>
    <row r="479" spans="1:31" s="924" customFormat="1">
      <c r="A479" s="162"/>
      <c r="B479" s="1764"/>
      <c r="C479" s="163"/>
      <c r="D479" s="163"/>
      <c r="E479" s="163"/>
      <c r="F479" s="163"/>
      <c r="G479" s="163"/>
      <c r="H479" s="163"/>
      <c r="I479" s="163"/>
      <c r="J479" s="163"/>
      <c r="K479" s="163"/>
      <c r="L479" s="163"/>
      <c r="M479" s="163"/>
      <c r="N479" s="163"/>
      <c r="O479" s="163"/>
      <c r="P479" s="163"/>
      <c r="Q479" s="162"/>
      <c r="R479" s="162"/>
      <c r="S479" s="162"/>
      <c r="T479" s="163"/>
      <c r="U479" s="162"/>
      <c r="V479" s="162"/>
      <c r="W479" s="162"/>
      <c r="X479" s="162"/>
      <c r="Y479" s="162"/>
      <c r="Z479" s="162"/>
      <c r="AA479" s="162"/>
      <c r="AB479" s="162"/>
      <c r="AC479" s="162"/>
      <c r="AD479" s="162"/>
      <c r="AE479" s="162"/>
    </row>
    <row r="480" spans="1:31" s="924" customFormat="1">
      <c r="A480" s="162"/>
      <c r="B480" s="1764"/>
      <c r="C480" s="163"/>
      <c r="D480" s="163"/>
      <c r="E480" s="163"/>
      <c r="F480" s="163"/>
      <c r="G480" s="163"/>
      <c r="H480" s="163"/>
      <c r="I480" s="163"/>
      <c r="J480" s="163"/>
      <c r="K480" s="163"/>
      <c r="L480" s="163"/>
      <c r="M480" s="163"/>
      <c r="N480" s="163"/>
      <c r="O480" s="163"/>
      <c r="P480" s="163"/>
      <c r="Q480" s="162"/>
      <c r="R480" s="162"/>
      <c r="S480" s="162"/>
      <c r="T480" s="163"/>
      <c r="U480" s="162"/>
      <c r="V480" s="162"/>
      <c r="W480" s="162"/>
      <c r="X480" s="162"/>
      <c r="Y480" s="162"/>
      <c r="Z480" s="162"/>
      <c r="AA480" s="162"/>
      <c r="AB480" s="162"/>
      <c r="AC480" s="162"/>
      <c r="AD480" s="162"/>
      <c r="AE480" s="162"/>
    </row>
    <row r="481" spans="1:31" s="924" customFormat="1">
      <c r="A481" s="162"/>
      <c r="B481" s="1764"/>
      <c r="C481" s="163"/>
      <c r="D481" s="163"/>
      <c r="E481" s="163"/>
      <c r="F481" s="163"/>
      <c r="G481" s="163"/>
      <c r="H481" s="163"/>
      <c r="I481" s="163"/>
      <c r="J481" s="163"/>
      <c r="K481" s="163"/>
      <c r="L481" s="163"/>
      <c r="M481" s="163"/>
      <c r="N481" s="163"/>
      <c r="O481" s="163"/>
      <c r="P481" s="163"/>
      <c r="Q481" s="162"/>
      <c r="R481" s="162"/>
      <c r="S481" s="162"/>
      <c r="T481" s="163"/>
      <c r="U481" s="162"/>
      <c r="V481" s="162"/>
      <c r="W481" s="162"/>
      <c r="X481" s="162"/>
      <c r="Y481" s="162"/>
      <c r="Z481" s="162"/>
      <c r="AA481" s="162"/>
      <c r="AB481" s="162"/>
      <c r="AC481" s="162"/>
      <c r="AD481" s="162"/>
      <c r="AE481" s="162"/>
    </row>
    <row r="482" spans="1:31" s="924" customFormat="1">
      <c r="A482" s="162"/>
      <c r="B482" s="1764"/>
      <c r="C482" s="163"/>
      <c r="D482" s="163"/>
      <c r="E482" s="163"/>
      <c r="F482" s="163"/>
      <c r="G482" s="163"/>
      <c r="H482" s="163"/>
      <c r="I482" s="163"/>
      <c r="J482" s="163"/>
      <c r="K482" s="163"/>
      <c r="L482" s="163"/>
      <c r="M482" s="163"/>
      <c r="N482" s="163"/>
      <c r="O482" s="163"/>
      <c r="P482" s="163"/>
      <c r="Q482" s="162"/>
      <c r="R482" s="162"/>
      <c r="S482" s="162"/>
      <c r="T482" s="163"/>
      <c r="U482" s="162"/>
      <c r="V482" s="162"/>
      <c r="W482" s="162"/>
      <c r="X482" s="162"/>
      <c r="Y482" s="162"/>
      <c r="Z482" s="162"/>
      <c r="AA482" s="162"/>
      <c r="AB482" s="162"/>
      <c r="AC482" s="162"/>
      <c r="AD482" s="162"/>
      <c r="AE482" s="162"/>
    </row>
    <row r="483" spans="1:31" s="924" customFormat="1">
      <c r="A483" s="162"/>
      <c r="B483" s="1764"/>
      <c r="C483" s="163"/>
      <c r="D483" s="163"/>
      <c r="E483" s="163"/>
      <c r="F483" s="163"/>
      <c r="G483" s="163"/>
      <c r="H483" s="163"/>
      <c r="I483" s="163"/>
      <c r="J483" s="163"/>
      <c r="K483" s="163"/>
      <c r="L483" s="163"/>
      <c r="M483" s="163"/>
      <c r="N483" s="163"/>
      <c r="O483" s="163"/>
      <c r="P483" s="163"/>
      <c r="Q483" s="162"/>
      <c r="R483" s="162"/>
      <c r="S483" s="162"/>
      <c r="T483" s="163"/>
      <c r="U483" s="162"/>
      <c r="V483" s="162"/>
      <c r="W483" s="162"/>
      <c r="X483" s="162"/>
      <c r="Y483" s="162"/>
      <c r="Z483" s="162"/>
      <c r="AA483" s="162"/>
      <c r="AB483" s="162"/>
      <c r="AC483" s="162"/>
      <c r="AD483" s="162"/>
      <c r="AE483" s="162"/>
    </row>
    <row r="484" spans="1:31" s="924" customFormat="1">
      <c r="A484" s="162"/>
      <c r="B484" s="1764"/>
      <c r="C484" s="163"/>
      <c r="D484" s="163"/>
      <c r="E484" s="163"/>
      <c r="F484" s="163"/>
      <c r="G484" s="163"/>
      <c r="H484" s="163"/>
      <c r="I484" s="163"/>
      <c r="J484" s="163"/>
      <c r="K484" s="163"/>
      <c r="L484" s="163"/>
      <c r="M484" s="163"/>
      <c r="N484" s="163"/>
      <c r="O484" s="163"/>
      <c r="P484" s="163"/>
      <c r="Q484" s="162"/>
      <c r="R484" s="162"/>
      <c r="S484" s="162"/>
      <c r="T484" s="163"/>
      <c r="U484" s="162"/>
      <c r="V484" s="162"/>
      <c r="W484" s="162"/>
      <c r="X484" s="162"/>
      <c r="Y484" s="162"/>
      <c r="Z484" s="162"/>
      <c r="AA484" s="162"/>
      <c r="AB484" s="162"/>
      <c r="AC484" s="162"/>
      <c r="AD484" s="162"/>
      <c r="AE484" s="162"/>
    </row>
    <row r="485" spans="1:31" s="924" customFormat="1">
      <c r="A485" s="162"/>
      <c r="B485" s="1764"/>
      <c r="C485" s="163"/>
      <c r="D485" s="163"/>
      <c r="E485" s="163"/>
      <c r="F485" s="163"/>
      <c r="G485" s="163"/>
      <c r="H485" s="163"/>
      <c r="I485" s="163"/>
      <c r="J485" s="163"/>
      <c r="K485" s="163"/>
      <c r="L485" s="163"/>
      <c r="M485" s="163"/>
      <c r="N485" s="163"/>
      <c r="O485" s="163"/>
      <c r="P485" s="163"/>
      <c r="Q485" s="162"/>
      <c r="R485" s="162"/>
      <c r="S485" s="162"/>
      <c r="T485" s="163"/>
      <c r="U485" s="162"/>
      <c r="V485" s="162"/>
      <c r="W485" s="162"/>
      <c r="X485" s="162"/>
      <c r="Y485" s="162"/>
      <c r="Z485" s="162"/>
      <c r="AA485" s="162"/>
      <c r="AB485" s="162"/>
      <c r="AC485" s="162"/>
      <c r="AD485" s="162"/>
      <c r="AE485" s="162"/>
    </row>
    <row r="486" spans="1:31" s="924" customFormat="1">
      <c r="A486" s="162"/>
      <c r="B486" s="1764"/>
      <c r="C486" s="163"/>
      <c r="D486" s="163"/>
      <c r="E486" s="163"/>
      <c r="F486" s="163"/>
      <c r="G486" s="163"/>
      <c r="H486" s="163"/>
      <c r="I486" s="163"/>
      <c r="J486" s="163"/>
      <c r="K486" s="163"/>
      <c r="L486" s="163"/>
      <c r="M486" s="163"/>
      <c r="N486" s="163"/>
      <c r="O486" s="163"/>
      <c r="P486" s="163"/>
      <c r="Q486" s="162"/>
      <c r="R486" s="162"/>
      <c r="S486" s="162"/>
      <c r="T486" s="163"/>
      <c r="U486" s="162"/>
      <c r="V486" s="162"/>
      <c r="W486" s="162"/>
      <c r="X486" s="162"/>
      <c r="Y486" s="162"/>
      <c r="Z486" s="162"/>
      <c r="AA486" s="162"/>
      <c r="AB486" s="162"/>
      <c r="AC486" s="162"/>
      <c r="AD486" s="162"/>
      <c r="AE486" s="162"/>
    </row>
    <row r="487" spans="1:31" s="924" customFormat="1">
      <c r="A487" s="162"/>
      <c r="B487" s="1764"/>
      <c r="C487" s="163"/>
      <c r="D487" s="163"/>
      <c r="E487" s="163"/>
      <c r="F487" s="163"/>
      <c r="G487" s="163"/>
      <c r="H487" s="163"/>
      <c r="I487" s="163"/>
      <c r="J487" s="163"/>
      <c r="K487" s="163"/>
      <c r="L487" s="163"/>
      <c r="M487" s="163"/>
      <c r="N487" s="163"/>
      <c r="O487" s="163"/>
      <c r="P487" s="163"/>
      <c r="Q487" s="162"/>
      <c r="R487" s="162"/>
      <c r="S487" s="162"/>
      <c r="T487" s="163"/>
      <c r="U487" s="162"/>
      <c r="V487" s="162"/>
      <c r="W487" s="162"/>
      <c r="X487" s="162"/>
      <c r="Y487" s="162"/>
      <c r="Z487" s="162"/>
      <c r="AA487" s="162"/>
      <c r="AB487" s="162"/>
      <c r="AC487" s="162"/>
      <c r="AD487" s="162"/>
      <c r="AE487" s="162"/>
    </row>
    <row r="488" spans="1:31" s="924" customFormat="1">
      <c r="A488" s="162"/>
      <c r="B488" s="1764"/>
      <c r="C488" s="163"/>
      <c r="D488" s="163"/>
      <c r="E488" s="163"/>
      <c r="F488" s="163"/>
      <c r="G488" s="163"/>
      <c r="H488" s="163"/>
      <c r="I488" s="163"/>
      <c r="J488" s="163"/>
      <c r="K488" s="163"/>
      <c r="L488" s="163"/>
      <c r="M488" s="163"/>
      <c r="N488" s="163"/>
      <c r="O488" s="163"/>
      <c r="P488" s="163"/>
      <c r="Q488" s="162"/>
      <c r="R488" s="162"/>
      <c r="S488" s="162"/>
      <c r="T488" s="163"/>
      <c r="U488" s="162"/>
      <c r="V488" s="162"/>
      <c r="W488" s="162"/>
      <c r="X488" s="162"/>
      <c r="Y488" s="162"/>
      <c r="Z488" s="162"/>
      <c r="AA488" s="162"/>
      <c r="AB488" s="162"/>
      <c r="AC488" s="162"/>
      <c r="AD488" s="162"/>
      <c r="AE488" s="162"/>
    </row>
    <row r="489" spans="1:31" s="924" customFormat="1">
      <c r="A489" s="162"/>
      <c r="B489" s="1764"/>
      <c r="C489" s="163"/>
      <c r="D489" s="163"/>
      <c r="E489" s="163"/>
      <c r="F489" s="163"/>
      <c r="G489" s="163"/>
      <c r="H489" s="163"/>
      <c r="I489" s="163"/>
      <c r="J489" s="163"/>
      <c r="K489" s="163"/>
      <c r="L489" s="163"/>
      <c r="M489" s="163"/>
      <c r="N489" s="163"/>
      <c r="O489" s="163"/>
      <c r="P489" s="163"/>
      <c r="Q489" s="162"/>
      <c r="R489" s="162"/>
      <c r="S489" s="162"/>
      <c r="T489" s="163"/>
      <c r="U489" s="162"/>
      <c r="V489" s="162"/>
      <c r="W489" s="162"/>
      <c r="X489" s="162"/>
      <c r="Y489" s="162"/>
      <c r="Z489" s="162"/>
      <c r="AA489" s="162"/>
      <c r="AB489" s="162"/>
      <c r="AC489" s="162"/>
      <c r="AD489" s="162"/>
      <c r="AE489" s="162"/>
    </row>
    <row r="490" spans="1:31" s="924" customFormat="1">
      <c r="A490" s="162"/>
      <c r="B490" s="1764"/>
      <c r="C490" s="163"/>
      <c r="D490" s="163"/>
      <c r="E490" s="163"/>
      <c r="F490" s="163"/>
      <c r="G490" s="163"/>
      <c r="H490" s="163"/>
      <c r="I490" s="163"/>
      <c r="J490" s="163"/>
      <c r="K490" s="163"/>
      <c r="L490" s="163"/>
      <c r="M490" s="163"/>
      <c r="N490" s="163"/>
      <c r="O490" s="163"/>
      <c r="P490" s="163"/>
      <c r="Q490" s="162"/>
      <c r="R490" s="162"/>
      <c r="S490" s="162"/>
      <c r="T490" s="163"/>
      <c r="U490" s="162"/>
      <c r="V490" s="162"/>
      <c r="W490" s="162"/>
      <c r="X490" s="162"/>
      <c r="Y490" s="162"/>
      <c r="Z490" s="162"/>
      <c r="AA490" s="162"/>
      <c r="AB490" s="162"/>
      <c r="AC490" s="162"/>
      <c r="AD490" s="162"/>
      <c r="AE490" s="162"/>
    </row>
    <row r="491" spans="1:31" s="924" customFormat="1">
      <c r="A491" s="162"/>
      <c r="B491" s="1764"/>
      <c r="C491" s="163"/>
      <c r="D491" s="163"/>
      <c r="E491" s="163"/>
      <c r="F491" s="163"/>
      <c r="G491" s="163"/>
      <c r="H491" s="163"/>
      <c r="I491" s="163"/>
      <c r="J491" s="163"/>
      <c r="K491" s="163"/>
      <c r="L491" s="163"/>
      <c r="M491" s="163"/>
      <c r="N491" s="163"/>
      <c r="O491" s="163"/>
      <c r="P491" s="163"/>
      <c r="Q491" s="162"/>
      <c r="R491" s="162"/>
      <c r="S491" s="162"/>
      <c r="T491" s="163"/>
      <c r="U491" s="162"/>
      <c r="V491" s="162"/>
      <c r="W491" s="162"/>
      <c r="X491" s="162"/>
      <c r="Y491" s="162"/>
      <c r="Z491" s="162"/>
      <c r="AA491" s="162"/>
      <c r="AB491" s="162"/>
      <c r="AC491" s="162"/>
      <c r="AD491" s="162"/>
      <c r="AE491" s="162"/>
    </row>
    <row r="492" spans="1:31" s="924" customFormat="1">
      <c r="A492" s="162"/>
      <c r="B492" s="1764"/>
      <c r="C492" s="163"/>
      <c r="D492" s="163"/>
      <c r="E492" s="163"/>
      <c r="F492" s="163"/>
      <c r="G492" s="163"/>
      <c r="H492" s="163"/>
      <c r="I492" s="163"/>
      <c r="J492" s="163"/>
      <c r="K492" s="163"/>
      <c r="L492" s="163"/>
      <c r="M492" s="163"/>
      <c r="N492" s="163"/>
      <c r="O492" s="163"/>
      <c r="P492" s="163"/>
      <c r="Q492" s="162"/>
      <c r="R492" s="162"/>
      <c r="S492" s="162"/>
      <c r="T492" s="163"/>
      <c r="U492" s="162"/>
      <c r="V492" s="162"/>
      <c r="W492" s="162"/>
      <c r="X492" s="162"/>
      <c r="Y492" s="162"/>
      <c r="Z492" s="162"/>
      <c r="AA492" s="162"/>
      <c r="AB492" s="162"/>
      <c r="AC492" s="162"/>
      <c r="AD492" s="162"/>
      <c r="AE492" s="162"/>
    </row>
    <row r="493" spans="1:31" s="924" customFormat="1">
      <c r="A493" s="162"/>
      <c r="B493" s="1764"/>
      <c r="C493" s="163"/>
      <c r="D493" s="163"/>
      <c r="E493" s="163"/>
      <c r="F493" s="163"/>
      <c r="G493" s="163"/>
      <c r="H493" s="163"/>
      <c r="I493" s="163"/>
      <c r="J493" s="163"/>
      <c r="K493" s="163"/>
      <c r="L493" s="163"/>
      <c r="M493" s="163"/>
      <c r="N493" s="163"/>
      <c r="O493" s="163"/>
      <c r="P493" s="163"/>
      <c r="Q493" s="162"/>
      <c r="R493" s="162"/>
      <c r="S493" s="162"/>
      <c r="T493" s="163"/>
      <c r="U493" s="162"/>
      <c r="V493" s="162"/>
      <c r="W493" s="162"/>
      <c r="X493" s="162"/>
      <c r="Y493" s="162"/>
      <c r="Z493" s="162"/>
      <c r="AA493" s="162"/>
      <c r="AB493" s="162"/>
      <c r="AC493" s="162"/>
      <c r="AD493" s="162"/>
      <c r="AE493" s="162"/>
    </row>
    <row r="494" spans="1:31" s="924" customFormat="1">
      <c r="A494" s="162"/>
      <c r="B494" s="1764"/>
      <c r="C494" s="163"/>
      <c r="D494" s="163"/>
      <c r="E494" s="163"/>
      <c r="F494" s="163"/>
      <c r="G494" s="163"/>
      <c r="H494" s="163"/>
      <c r="I494" s="163"/>
      <c r="J494" s="163"/>
      <c r="K494" s="163"/>
      <c r="L494" s="163"/>
      <c r="M494" s="163"/>
      <c r="N494" s="163"/>
      <c r="O494" s="163"/>
      <c r="P494" s="163"/>
      <c r="Q494" s="162"/>
      <c r="R494" s="162"/>
      <c r="S494" s="162"/>
      <c r="T494" s="163"/>
      <c r="U494" s="162"/>
      <c r="V494" s="162"/>
      <c r="W494" s="162"/>
      <c r="X494" s="162"/>
      <c r="Y494" s="162"/>
      <c r="Z494" s="162"/>
      <c r="AA494" s="162"/>
      <c r="AB494" s="162"/>
      <c r="AC494" s="162"/>
      <c r="AD494" s="162"/>
      <c r="AE494" s="162"/>
    </row>
    <row r="495" spans="1:31" s="924" customFormat="1">
      <c r="A495" s="162"/>
      <c r="B495" s="1764"/>
      <c r="C495" s="163"/>
      <c r="D495" s="163"/>
      <c r="E495" s="163"/>
      <c r="F495" s="163"/>
      <c r="G495" s="163"/>
      <c r="H495" s="163"/>
      <c r="I495" s="163"/>
      <c r="J495" s="163"/>
      <c r="K495" s="163"/>
      <c r="L495" s="163"/>
      <c r="M495" s="163"/>
      <c r="N495" s="163"/>
      <c r="O495" s="163"/>
      <c r="P495" s="163"/>
      <c r="Q495" s="162"/>
      <c r="R495" s="162"/>
      <c r="S495" s="162"/>
      <c r="T495" s="163"/>
      <c r="U495" s="162"/>
      <c r="V495" s="162"/>
      <c r="W495" s="162"/>
      <c r="X495" s="162"/>
      <c r="Y495" s="162"/>
      <c r="Z495" s="162"/>
      <c r="AA495" s="162"/>
      <c r="AB495" s="162"/>
      <c r="AC495" s="162"/>
      <c r="AD495" s="162"/>
      <c r="AE495" s="162"/>
    </row>
    <row r="496" spans="1:31" s="924" customFormat="1">
      <c r="A496" s="162"/>
      <c r="B496" s="1764"/>
      <c r="C496" s="163"/>
      <c r="D496" s="163"/>
      <c r="E496" s="163"/>
      <c r="F496" s="163"/>
      <c r="G496" s="163"/>
      <c r="H496" s="163"/>
      <c r="I496" s="163"/>
      <c r="J496" s="163"/>
      <c r="K496" s="163"/>
      <c r="L496" s="163"/>
      <c r="M496" s="163"/>
      <c r="N496" s="163"/>
      <c r="O496" s="163"/>
      <c r="P496" s="163"/>
      <c r="Q496" s="162"/>
      <c r="R496" s="162"/>
      <c r="S496" s="162"/>
      <c r="T496" s="163"/>
      <c r="U496" s="162"/>
      <c r="V496" s="162"/>
      <c r="W496" s="162"/>
      <c r="X496" s="162"/>
      <c r="Y496" s="162"/>
      <c r="Z496" s="162"/>
      <c r="AA496" s="162"/>
      <c r="AB496" s="162"/>
      <c r="AC496" s="162"/>
      <c r="AD496" s="162"/>
      <c r="AE496" s="162"/>
    </row>
    <row r="497" spans="1:31" s="924" customFormat="1">
      <c r="A497" s="162"/>
      <c r="B497" s="1764"/>
      <c r="C497" s="163"/>
      <c r="D497" s="163"/>
      <c r="E497" s="163"/>
      <c r="F497" s="163"/>
      <c r="G497" s="163"/>
      <c r="H497" s="163"/>
      <c r="I497" s="163"/>
      <c r="J497" s="163"/>
      <c r="K497" s="163"/>
      <c r="L497" s="163"/>
      <c r="M497" s="163"/>
      <c r="N497" s="163"/>
      <c r="O497" s="163"/>
      <c r="P497" s="163"/>
      <c r="Q497" s="162"/>
      <c r="R497" s="162"/>
      <c r="S497" s="162"/>
      <c r="T497" s="163"/>
      <c r="U497" s="162"/>
      <c r="V497" s="162"/>
      <c r="W497" s="162"/>
      <c r="X497" s="162"/>
      <c r="Y497" s="162"/>
      <c r="Z497" s="162"/>
      <c r="AA497" s="162"/>
      <c r="AB497" s="162"/>
      <c r="AC497" s="162"/>
      <c r="AD497" s="162"/>
      <c r="AE497" s="162"/>
    </row>
    <row r="498" spans="1:31" s="924" customFormat="1">
      <c r="A498" s="162"/>
      <c r="B498" s="1764"/>
      <c r="C498" s="163"/>
      <c r="D498" s="163"/>
      <c r="E498" s="163"/>
      <c r="F498" s="163"/>
      <c r="G498" s="163"/>
      <c r="H498" s="163"/>
      <c r="I498" s="163"/>
      <c r="J498" s="163"/>
      <c r="K498" s="163"/>
      <c r="L498" s="163"/>
      <c r="M498" s="163"/>
      <c r="N498" s="163"/>
      <c r="O498" s="163"/>
      <c r="P498" s="163"/>
      <c r="Q498" s="162"/>
      <c r="R498" s="162"/>
      <c r="S498" s="162"/>
      <c r="T498" s="163"/>
      <c r="U498" s="162"/>
      <c r="V498" s="162"/>
      <c r="W498" s="162"/>
      <c r="X498" s="162"/>
      <c r="Y498" s="162"/>
      <c r="Z498" s="162"/>
      <c r="AA498" s="162"/>
      <c r="AB498" s="162"/>
      <c r="AC498" s="162"/>
      <c r="AD498" s="162"/>
      <c r="AE498" s="162"/>
    </row>
    <row r="499" spans="1:31" s="924" customFormat="1">
      <c r="A499" s="162"/>
      <c r="B499" s="1764"/>
      <c r="C499" s="163"/>
      <c r="D499" s="163"/>
      <c r="E499" s="163"/>
      <c r="F499" s="163"/>
      <c r="G499" s="163"/>
      <c r="H499" s="163"/>
      <c r="I499" s="163"/>
      <c r="J499" s="163"/>
      <c r="K499" s="163"/>
      <c r="L499" s="163"/>
      <c r="M499" s="163"/>
      <c r="N499" s="163"/>
      <c r="O499" s="163"/>
      <c r="P499" s="163"/>
      <c r="Q499" s="162"/>
      <c r="R499" s="162"/>
      <c r="S499" s="162"/>
      <c r="T499" s="163"/>
      <c r="U499" s="162"/>
      <c r="V499" s="162"/>
      <c r="W499" s="162"/>
      <c r="X499" s="162"/>
      <c r="Y499" s="162"/>
      <c r="Z499" s="162"/>
      <c r="AA499" s="162"/>
      <c r="AB499" s="162"/>
      <c r="AC499" s="162"/>
      <c r="AD499" s="162"/>
      <c r="AE499" s="162"/>
    </row>
    <row r="500" spans="1:31" s="924" customFormat="1">
      <c r="A500" s="162"/>
      <c r="B500" s="1764"/>
      <c r="C500" s="163"/>
      <c r="D500" s="163"/>
      <c r="E500" s="163"/>
      <c r="F500" s="163"/>
      <c r="G500" s="163"/>
      <c r="H500" s="163"/>
      <c r="I500" s="163"/>
      <c r="J500" s="163"/>
      <c r="K500" s="163"/>
      <c r="L500" s="163"/>
      <c r="M500" s="163"/>
      <c r="N500" s="163"/>
      <c r="O500" s="163"/>
      <c r="P500" s="163"/>
      <c r="Q500" s="162"/>
      <c r="R500" s="162"/>
      <c r="S500" s="162"/>
      <c r="T500" s="163"/>
      <c r="U500" s="162"/>
      <c r="V500" s="162"/>
      <c r="W500" s="162"/>
      <c r="X500" s="162"/>
      <c r="Y500" s="162"/>
      <c r="Z500" s="162"/>
      <c r="AA500" s="162"/>
      <c r="AB500" s="162"/>
      <c r="AC500" s="162"/>
      <c r="AD500" s="162"/>
      <c r="AE500" s="162"/>
    </row>
    <row r="501" spans="1:31" s="924" customFormat="1">
      <c r="A501" s="162"/>
      <c r="B501" s="1764"/>
      <c r="C501" s="163"/>
      <c r="D501" s="163"/>
      <c r="E501" s="163"/>
      <c r="F501" s="163"/>
      <c r="G501" s="163"/>
      <c r="H501" s="163"/>
      <c r="I501" s="163"/>
      <c r="J501" s="163"/>
      <c r="K501" s="163"/>
      <c r="L501" s="163"/>
      <c r="M501" s="163"/>
      <c r="N501" s="163"/>
      <c r="O501" s="163"/>
      <c r="P501" s="163"/>
      <c r="Q501" s="162"/>
      <c r="R501" s="162"/>
      <c r="S501" s="162"/>
      <c r="T501" s="163"/>
      <c r="U501" s="162"/>
      <c r="V501" s="162"/>
      <c r="W501" s="162"/>
      <c r="X501" s="162"/>
      <c r="Y501" s="162"/>
      <c r="Z501" s="162"/>
      <c r="AA501" s="162"/>
      <c r="AB501" s="162"/>
      <c r="AC501" s="162"/>
      <c r="AD501" s="162"/>
      <c r="AE501" s="162"/>
    </row>
    <row r="502" spans="1:31" s="924" customFormat="1">
      <c r="A502" s="162"/>
      <c r="B502" s="1764"/>
      <c r="C502" s="163"/>
      <c r="D502" s="163"/>
      <c r="E502" s="163"/>
      <c r="F502" s="163"/>
      <c r="G502" s="163"/>
      <c r="H502" s="163"/>
      <c r="I502" s="163"/>
      <c r="J502" s="163"/>
      <c r="K502" s="163"/>
      <c r="L502" s="163"/>
      <c r="M502" s="163"/>
      <c r="N502" s="163"/>
      <c r="O502" s="163"/>
      <c r="P502" s="163"/>
      <c r="Q502" s="162"/>
      <c r="R502" s="162"/>
      <c r="S502" s="162"/>
      <c r="T502" s="163"/>
      <c r="U502" s="162"/>
      <c r="V502" s="162"/>
      <c r="W502" s="162"/>
      <c r="X502" s="162"/>
      <c r="Y502" s="162"/>
      <c r="Z502" s="162"/>
      <c r="AA502" s="162"/>
      <c r="AB502" s="162"/>
      <c r="AC502" s="162"/>
      <c r="AD502" s="162"/>
      <c r="AE502" s="162"/>
    </row>
    <row r="503" spans="1:31" s="924" customFormat="1">
      <c r="A503" s="162"/>
      <c r="B503" s="1764"/>
      <c r="C503" s="163"/>
      <c r="D503" s="163"/>
      <c r="E503" s="163"/>
      <c r="F503" s="163"/>
      <c r="G503" s="163"/>
      <c r="H503" s="163"/>
      <c r="I503" s="163"/>
      <c r="J503" s="163"/>
      <c r="K503" s="163"/>
      <c r="L503" s="163"/>
      <c r="M503" s="163"/>
      <c r="N503" s="163"/>
      <c r="O503" s="163"/>
      <c r="P503" s="163"/>
      <c r="Q503" s="162"/>
      <c r="R503" s="162"/>
      <c r="S503" s="162"/>
      <c r="T503" s="163"/>
      <c r="U503" s="162"/>
      <c r="V503" s="162"/>
      <c r="W503" s="162"/>
      <c r="X503" s="162"/>
      <c r="Y503" s="162"/>
      <c r="Z503" s="162"/>
      <c r="AA503" s="162"/>
      <c r="AB503" s="162"/>
      <c r="AC503" s="162"/>
      <c r="AD503" s="162"/>
      <c r="AE503" s="162"/>
    </row>
    <row r="504" spans="1:31" s="924" customFormat="1">
      <c r="A504" s="162"/>
      <c r="B504" s="1764"/>
      <c r="C504" s="163"/>
      <c r="D504" s="163"/>
      <c r="E504" s="163"/>
      <c r="F504" s="163"/>
      <c r="G504" s="163"/>
      <c r="H504" s="163"/>
      <c r="I504" s="163"/>
      <c r="J504" s="163"/>
      <c r="K504" s="163"/>
      <c r="L504" s="163"/>
      <c r="M504" s="163"/>
      <c r="N504" s="163"/>
      <c r="O504" s="163"/>
      <c r="P504" s="163"/>
      <c r="Q504" s="162"/>
      <c r="R504" s="162"/>
      <c r="S504" s="162"/>
      <c r="T504" s="163"/>
      <c r="U504" s="162"/>
      <c r="V504" s="162"/>
      <c r="W504" s="162"/>
      <c r="X504" s="162"/>
      <c r="Y504" s="162"/>
      <c r="Z504" s="162"/>
      <c r="AA504" s="162"/>
      <c r="AB504" s="162"/>
      <c r="AC504" s="162"/>
      <c r="AD504" s="162"/>
      <c r="AE504" s="162"/>
    </row>
    <row r="505" spans="1:31" s="924" customFormat="1">
      <c r="A505" s="162"/>
      <c r="B505" s="1764"/>
      <c r="C505" s="163"/>
      <c r="D505" s="163"/>
      <c r="E505" s="163"/>
      <c r="F505" s="163"/>
      <c r="G505" s="163"/>
      <c r="H505" s="163"/>
      <c r="I505" s="163"/>
      <c r="J505" s="163"/>
      <c r="K505" s="163"/>
      <c r="L505" s="163"/>
      <c r="M505" s="163"/>
      <c r="N505" s="163"/>
      <c r="O505" s="163"/>
      <c r="P505" s="163"/>
      <c r="Q505" s="162"/>
      <c r="R505" s="162"/>
      <c r="S505" s="162"/>
      <c r="T505" s="163"/>
      <c r="U505" s="162"/>
      <c r="V505" s="162"/>
      <c r="W505" s="162"/>
      <c r="X505" s="162"/>
      <c r="Y505" s="162"/>
      <c r="Z505" s="162"/>
      <c r="AA505" s="162"/>
      <c r="AB505" s="162"/>
      <c r="AC505" s="162"/>
      <c r="AD505" s="162"/>
      <c r="AE505" s="162"/>
    </row>
    <row r="506" spans="1:31" s="924" customFormat="1">
      <c r="A506" s="162"/>
      <c r="B506" s="1764"/>
      <c r="C506" s="163"/>
      <c r="D506" s="163"/>
      <c r="E506" s="163"/>
      <c r="F506" s="163"/>
      <c r="G506" s="163"/>
      <c r="H506" s="163"/>
      <c r="I506" s="163"/>
      <c r="J506" s="163"/>
      <c r="K506" s="163"/>
      <c r="L506" s="163"/>
      <c r="M506" s="163"/>
      <c r="N506" s="163"/>
      <c r="O506" s="163"/>
      <c r="P506" s="163"/>
      <c r="Q506" s="162"/>
      <c r="R506" s="162"/>
      <c r="S506" s="162"/>
      <c r="T506" s="163"/>
      <c r="U506" s="162"/>
      <c r="V506" s="162"/>
      <c r="W506" s="162"/>
      <c r="X506" s="162"/>
      <c r="Y506" s="162"/>
      <c r="Z506" s="162"/>
      <c r="AA506" s="162"/>
      <c r="AB506" s="162"/>
      <c r="AC506" s="162"/>
      <c r="AD506" s="162"/>
      <c r="AE506" s="162"/>
    </row>
    <row r="507" spans="1:31" s="924" customFormat="1">
      <c r="A507" s="162"/>
      <c r="B507" s="1764"/>
      <c r="C507" s="163"/>
      <c r="D507" s="163"/>
      <c r="E507" s="163"/>
      <c r="F507" s="163"/>
      <c r="G507" s="163"/>
      <c r="H507" s="163"/>
      <c r="I507" s="163"/>
      <c r="J507" s="163"/>
      <c r="K507" s="163"/>
      <c r="L507" s="163"/>
      <c r="M507" s="163"/>
      <c r="N507" s="163"/>
      <c r="O507" s="163"/>
      <c r="P507" s="163"/>
      <c r="Q507" s="162"/>
      <c r="R507" s="162"/>
      <c r="S507" s="162"/>
      <c r="T507" s="163"/>
      <c r="U507" s="162"/>
      <c r="V507" s="162"/>
      <c r="W507" s="162"/>
      <c r="X507" s="162"/>
      <c r="Y507" s="162"/>
      <c r="Z507" s="162"/>
      <c r="AA507" s="162"/>
      <c r="AB507" s="162"/>
      <c r="AC507" s="162"/>
      <c r="AD507" s="162"/>
      <c r="AE507" s="162"/>
    </row>
    <row r="508" spans="1:31" s="924" customFormat="1">
      <c r="A508" s="162"/>
      <c r="B508" s="1764"/>
      <c r="C508" s="163"/>
      <c r="D508" s="163"/>
      <c r="E508" s="163"/>
      <c r="F508" s="163"/>
      <c r="G508" s="163"/>
      <c r="H508" s="163"/>
      <c r="I508" s="163"/>
      <c r="J508" s="163"/>
      <c r="K508" s="163"/>
      <c r="L508" s="163"/>
      <c r="M508" s="163"/>
      <c r="N508" s="163"/>
      <c r="O508" s="163"/>
      <c r="P508" s="163"/>
      <c r="Q508" s="162"/>
      <c r="R508" s="162"/>
      <c r="S508" s="162"/>
      <c r="T508" s="163"/>
      <c r="U508" s="162"/>
      <c r="V508" s="162"/>
      <c r="W508" s="162"/>
      <c r="X508" s="162"/>
      <c r="Y508" s="162"/>
      <c r="Z508" s="162"/>
      <c r="AA508" s="162"/>
      <c r="AB508" s="162"/>
      <c r="AC508" s="162"/>
      <c r="AD508" s="162"/>
      <c r="AE508" s="162"/>
    </row>
    <row r="509" spans="1:31" s="924" customFormat="1">
      <c r="A509" s="162"/>
      <c r="B509" s="1764"/>
      <c r="C509" s="163"/>
      <c r="D509" s="163"/>
      <c r="E509" s="163"/>
      <c r="F509" s="163"/>
      <c r="G509" s="163"/>
      <c r="H509" s="163"/>
      <c r="I509" s="163"/>
      <c r="J509" s="163"/>
      <c r="K509" s="163"/>
      <c r="L509" s="163"/>
      <c r="M509" s="163"/>
      <c r="N509" s="163"/>
      <c r="O509" s="163"/>
      <c r="P509" s="163"/>
      <c r="Q509" s="162"/>
      <c r="R509" s="162"/>
      <c r="S509" s="162"/>
      <c r="T509" s="163"/>
      <c r="U509" s="162"/>
      <c r="V509" s="162"/>
      <c r="W509" s="162"/>
      <c r="X509" s="162"/>
      <c r="Y509" s="162"/>
      <c r="Z509" s="162"/>
      <c r="AA509" s="162"/>
      <c r="AB509" s="162"/>
      <c r="AC509" s="162"/>
      <c r="AD509" s="162"/>
      <c r="AE509" s="162"/>
    </row>
    <row r="510" spans="1:31" s="924" customFormat="1">
      <c r="A510" s="162"/>
      <c r="B510" s="1764"/>
      <c r="C510" s="163"/>
      <c r="D510" s="163"/>
      <c r="E510" s="163"/>
      <c r="F510" s="163"/>
      <c r="G510" s="163"/>
      <c r="H510" s="163"/>
      <c r="I510" s="163"/>
      <c r="J510" s="163"/>
      <c r="K510" s="163"/>
      <c r="L510" s="163"/>
      <c r="M510" s="163"/>
      <c r="N510" s="163"/>
      <c r="O510" s="163"/>
      <c r="P510" s="163"/>
      <c r="Q510" s="162"/>
      <c r="R510" s="162"/>
      <c r="S510" s="162"/>
      <c r="T510" s="163"/>
      <c r="U510" s="162"/>
      <c r="V510" s="162"/>
      <c r="W510" s="162"/>
      <c r="X510" s="162"/>
      <c r="Y510" s="162"/>
      <c r="Z510" s="162"/>
      <c r="AA510" s="162"/>
      <c r="AB510" s="162"/>
      <c r="AC510" s="162"/>
      <c r="AD510" s="162"/>
      <c r="AE510" s="162"/>
    </row>
    <row r="511" spans="1:31" s="924" customFormat="1">
      <c r="A511" s="162"/>
      <c r="B511" s="1764"/>
      <c r="C511" s="163"/>
      <c r="D511" s="163"/>
      <c r="E511" s="163"/>
      <c r="F511" s="163"/>
      <c r="G511" s="163"/>
      <c r="H511" s="163"/>
      <c r="I511" s="163"/>
      <c r="J511" s="163"/>
      <c r="K511" s="163"/>
      <c r="L511" s="163"/>
      <c r="M511" s="163"/>
      <c r="N511" s="163"/>
      <c r="O511" s="163"/>
      <c r="P511" s="163"/>
      <c r="Q511" s="162"/>
      <c r="R511" s="162"/>
      <c r="S511" s="162"/>
      <c r="T511" s="163"/>
      <c r="U511" s="162"/>
      <c r="V511" s="162"/>
      <c r="W511" s="162"/>
      <c r="X511" s="162"/>
      <c r="Y511" s="162"/>
      <c r="Z511" s="162"/>
      <c r="AA511" s="162"/>
      <c r="AB511" s="162"/>
      <c r="AC511" s="162"/>
      <c r="AD511" s="162"/>
      <c r="AE511" s="162"/>
    </row>
    <row r="512" spans="1:31" s="924" customFormat="1">
      <c r="A512" s="162"/>
      <c r="B512" s="1764"/>
      <c r="C512" s="163"/>
      <c r="D512" s="163"/>
      <c r="E512" s="163"/>
      <c r="F512" s="163"/>
      <c r="G512" s="163"/>
      <c r="H512" s="163"/>
      <c r="I512" s="163"/>
      <c r="J512" s="163"/>
      <c r="K512" s="163"/>
      <c r="L512" s="163"/>
      <c r="M512" s="163"/>
      <c r="N512" s="163"/>
      <c r="O512" s="163"/>
      <c r="P512" s="163"/>
      <c r="Q512" s="162"/>
      <c r="R512" s="162"/>
      <c r="S512" s="162"/>
      <c r="T512" s="163"/>
      <c r="U512" s="162"/>
      <c r="V512" s="162"/>
      <c r="W512" s="162"/>
      <c r="X512" s="162"/>
      <c r="Y512" s="162"/>
      <c r="Z512" s="162"/>
      <c r="AA512" s="162"/>
      <c r="AB512" s="162"/>
      <c r="AC512" s="162"/>
      <c r="AD512" s="162"/>
      <c r="AE512" s="162"/>
    </row>
    <row r="513" spans="1:31" s="924" customFormat="1">
      <c r="A513" s="162"/>
      <c r="B513" s="1764"/>
      <c r="C513" s="163"/>
      <c r="D513" s="163"/>
      <c r="E513" s="163"/>
      <c r="F513" s="163"/>
      <c r="G513" s="163"/>
      <c r="H513" s="163"/>
      <c r="I513" s="163"/>
      <c r="J513" s="163"/>
      <c r="K513" s="163"/>
      <c r="L513" s="163"/>
      <c r="M513" s="163"/>
      <c r="N513" s="163"/>
      <c r="O513" s="163"/>
      <c r="P513" s="163"/>
      <c r="Q513" s="162"/>
      <c r="R513" s="162"/>
      <c r="S513" s="162"/>
      <c r="T513" s="163"/>
      <c r="U513" s="162"/>
      <c r="V513" s="162"/>
      <c r="W513" s="162"/>
      <c r="X513" s="162"/>
      <c r="Y513" s="162"/>
      <c r="Z513" s="162"/>
      <c r="AA513" s="162"/>
      <c r="AB513" s="162"/>
      <c r="AC513" s="162"/>
      <c r="AD513" s="162"/>
      <c r="AE513" s="162"/>
    </row>
    <row r="514" spans="1:31" s="924" customFormat="1">
      <c r="A514" s="162"/>
      <c r="B514" s="1764"/>
      <c r="C514" s="163"/>
      <c r="D514" s="163"/>
      <c r="E514" s="163"/>
      <c r="F514" s="163"/>
      <c r="G514" s="163"/>
      <c r="H514" s="163"/>
      <c r="I514" s="163"/>
      <c r="J514" s="163"/>
      <c r="K514" s="163"/>
      <c r="L514" s="163"/>
      <c r="M514" s="163"/>
      <c r="N514" s="163"/>
      <c r="O514" s="163"/>
      <c r="P514" s="163"/>
      <c r="Q514" s="162"/>
      <c r="R514" s="162"/>
      <c r="S514" s="162"/>
      <c r="T514" s="163"/>
      <c r="U514" s="162"/>
      <c r="V514" s="162"/>
      <c r="W514" s="162"/>
      <c r="X514" s="162"/>
      <c r="Y514" s="162"/>
      <c r="Z514" s="162"/>
      <c r="AA514" s="162"/>
      <c r="AB514" s="162"/>
      <c r="AC514" s="162"/>
      <c r="AD514" s="162"/>
      <c r="AE514" s="162"/>
    </row>
    <row r="515" spans="1:31" s="924" customFormat="1">
      <c r="A515" s="162"/>
      <c r="B515" s="1764"/>
      <c r="C515" s="163"/>
      <c r="D515" s="163"/>
      <c r="E515" s="163"/>
      <c r="F515" s="163"/>
      <c r="G515" s="163"/>
      <c r="H515" s="163"/>
      <c r="I515" s="163"/>
      <c r="J515" s="163"/>
      <c r="K515" s="163"/>
      <c r="L515" s="163"/>
      <c r="M515" s="163"/>
      <c r="N515" s="163"/>
      <c r="O515" s="163"/>
      <c r="P515" s="163"/>
      <c r="Q515" s="162"/>
      <c r="R515" s="162"/>
      <c r="S515" s="162"/>
      <c r="T515" s="163"/>
      <c r="U515" s="162"/>
      <c r="V515" s="162"/>
      <c r="W515" s="162"/>
      <c r="X515" s="162"/>
      <c r="Y515" s="162"/>
      <c r="Z515" s="162"/>
      <c r="AA515" s="162"/>
      <c r="AB515" s="162"/>
      <c r="AC515" s="162"/>
      <c r="AD515" s="162"/>
      <c r="AE515" s="162"/>
    </row>
    <row r="516" spans="1:31" s="924" customFormat="1">
      <c r="A516" s="162"/>
      <c r="B516" s="1764"/>
      <c r="C516" s="163"/>
      <c r="D516" s="163"/>
      <c r="E516" s="163"/>
      <c r="F516" s="163"/>
      <c r="G516" s="163"/>
      <c r="H516" s="163"/>
      <c r="I516" s="163"/>
      <c r="J516" s="163"/>
      <c r="K516" s="163"/>
      <c r="L516" s="163"/>
      <c r="M516" s="163"/>
      <c r="N516" s="163"/>
      <c r="O516" s="163"/>
      <c r="P516" s="163"/>
      <c r="Q516" s="162"/>
      <c r="R516" s="162"/>
      <c r="S516" s="162"/>
      <c r="T516" s="163"/>
      <c r="U516" s="162"/>
      <c r="V516" s="162"/>
      <c r="W516" s="162"/>
      <c r="X516" s="162"/>
      <c r="Y516" s="162"/>
      <c r="Z516" s="162"/>
      <c r="AA516" s="162"/>
      <c r="AB516" s="162"/>
      <c r="AC516" s="162"/>
      <c r="AD516" s="162"/>
      <c r="AE516" s="162"/>
    </row>
    <row r="517" spans="1:31" s="924" customFormat="1">
      <c r="A517" s="162"/>
      <c r="B517" s="1764"/>
      <c r="C517" s="163"/>
      <c r="D517" s="163"/>
      <c r="E517" s="163"/>
      <c r="F517" s="163"/>
      <c r="G517" s="163"/>
      <c r="H517" s="163"/>
      <c r="I517" s="163"/>
      <c r="J517" s="163"/>
      <c r="K517" s="163"/>
      <c r="L517" s="163"/>
      <c r="M517" s="163"/>
      <c r="N517" s="163"/>
      <c r="O517" s="163"/>
      <c r="P517" s="163"/>
      <c r="Q517" s="162"/>
      <c r="R517" s="162"/>
      <c r="S517" s="162"/>
      <c r="T517" s="163"/>
      <c r="U517" s="162"/>
      <c r="V517" s="162"/>
      <c r="W517" s="162"/>
      <c r="X517" s="162"/>
      <c r="Y517" s="162"/>
      <c r="Z517" s="162"/>
      <c r="AA517" s="162"/>
      <c r="AB517" s="162"/>
      <c r="AC517" s="162"/>
      <c r="AD517" s="162"/>
      <c r="AE517" s="162"/>
    </row>
    <row r="518" spans="1:31" s="924" customFormat="1">
      <c r="A518" s="162"/>
      <c r="B518" s="1764"/>
      <c r="C518" s="163"/>
      <c r="D518" s="163"/>
      <c r="E518" s="163"/>
      <c r="F518" s="163"/>
      <c r="G518" s="163"/>
      <c r="H518" s="163"/>
      <c r="I518" s="163"/>
      <c r="J518" s="163"/>
      <c r="K518" s="163"/>
      <c r="L518" s="163"/>
      <c r="M518" s="163"/>
      <c r="N518" s="163"/>
      <c r="O518" s="163"/>
      <c r="P518" s="163"/>
      <c r="Q518" s="162"/>
      <c r="R518" s="162"/>
      <c r="S518" s="162"/>
      <c r="T518" s="163"/>
      <c r="U518" s="162"/>
      <c r="V518" s="162"/>
      <c r="W518" s="162"/>
      <c r="X518" s="162"/>
      <c r="Y518" s="162"/>
      <c r="Z518" s="162"/>
      <c r="AA518" s="162"/>
      <c r="AB518" s="162"/>
      <c r="AC518" s="162"/>
      <c r="AD518" s="162"/>
      <c r="AE518" s="162"/>
    </row>
    <row r="519" spans="1:31" s="924" customFormat="1">
      <c r="A519" s="162"/>
      <c r="B519" s="1764"/>
      <c r="C519" s="163"/>
      <c r="D519" s="163"/>
      <c r="E519" s="163"/>
      <c r="F519" s="163"/>
      <c r="G519" s="163"/>
      <c r="H519" s="163"/>
      <c r="I519" s="163"/>
      <c r="J519" s="163"/>
      <c r="K519" s="163"/>
      <c r="L519" s="163"/>
      <c r="M519" s="163"/>
      <c r="N519" s="163"/>
      <c r="O519" s="163"/>
      <c r="P519" s="163"/>
      <c r="Q519" s="162"/>
      <c r="R519" s="162"/>
      <c r="S519" s="162"/>
      <c r="T519" s="163"/>
      <c r="U519" s="162"/>
      <c r="V519" s="162"/>
      <c r="W519" s="162"/>
      <c r="X519" s="162"/>
      <c r="Y519" s="162"/>
      <c r="Z519" s="162"/>
      <c r="AA519" s="162"/>
      <c r="AB519" s="162"/>
      <c r="AC519" s="162"/>
      <c r="AD519" s="162"/>
      <c r="AE519" s="162"/>
    </row>
    <row r="520" spans="1:31" s="924" customFormat="1">
      <c r="A520" s="162"/>
      <c r="B520" s="1764"/>
      <c r="C520" s="163"/>
      <c r="D520" s="163"/>
      <c r="E520" s="163"/>
      <c r="F520" s="163"/>
      <c r="G520" s="163"/>
      <c r="H520" s="163"/>
      <c r="I520" s="163"/>
      <c r="J520" s="163"/>
      <c r="K520" s="163"/>
      <c r="L520" s="163"/>
      <c r="M520" s="163"/>
      <c r="N520" s="163"/>
      <c r="O520" s="163"/>
      <c r="P520" s="163"/>
      <c r="Q520" s="162"/>
      <c r="R520" s="162"/>
      <c r="S520" s="162"/>
      <c r="T520" s="163"/>
      <c r="U520" s="162"/>
      <c r="V520" s="162"/>
      <c r="W520" s="162"/>
      <c r="X520" s="162"/>
      <c r="Y520" s="162"/>
      <c r="Z520" s="162"/>
      <c r="AA520" s="162"/>
      <c r="AB520" s="162"/>
      <c r="AC520" s="162"/>
      <c r="AD520" s="162"/>
      <c r="AE520" s="162"/>
    </row>
    <row r="521" spans="1:31" s="924" customFormat="1">
      <c r="A521" s="162"/>
      <c r="B521" s="1764"/>
      <c r="C521" s="163"/>
      <c r="D521" s="163"/>
      <c r="E521" s="163"/>
      <c r="F521" s="163"/>
      <c r="G521" s="163"/>
      <c r="H521" s="163"/>
      <c r="I521" s="163"/>
      <c r="J521" s="163"/>
      <c r="K521" s="163"/>
      <c r="L521" s="163"/>
      <c r="M521" s="163"/>
      <c r="N521" s="163"/>
      <c r="O521" s="163"/>
      <c r="P521" s="163"/>
      <c r="Q521" s="162"/>
      <c r="R521" s="162"/>
      <c r="S521" s="162"/>
      <c r="T521" s="163"/>
      <c r="U521" s="162"/>
      <c r="V521" s="162"/>
      <c r="W521" s="162"/>
      <c r="X521" s="162"/>
      <c r="Y521" s="162"/>
      <c r="Z521" s="162"/>
      <c r="AA521" s="162"/>
      <c r="AB521" s="162"/>
      <c r="AC521" s="162"/>
      <c r="AD521" s="162"/>
      <c r="AE521" s="162"/>
    </row>
    <row r="522" spans="1:31" s="924" customFormat="1">
      <c r="A522" s="162"/>
      <c r="B522" s="1764"/>
      <c r="C522" s="163"/>
      <c r="D522" s="163"/>
      <c r="E522" s="163"/>
      <c r="F522" s="163"/>
      <c r="G522" s="163"/>
      <c r="H522" s="163"/>
      <c r="I522" s="163"/>
      <c r="J522" s="163"/>
      <c r="K522" s="163"/>
      <c r="L522" s="163"/>
      <c r="M522" s="163"/>
      <c r="N522" s="163"/>
      <c r="O522" s="163"/>
      <c r="P522" s="163"/>
      <c r="Q522" s="162"/>
      <c r="R522" s="162"/>
      <c r="S522" s="162"/>
      <c r="T522" s="163"/>
      <c r="U522" s="162"/>
      <c r="V522" s="162"/>
      <c r="W522" s="162"/>
      <c r="X522" s="162"/>
      <c r="Y522" s="162"/>
      <c r="Z522" s="162"/>
      <c r="AA522" s="162"/>
      <c r="AB522" s="162"/>
      <c r="AC522" s="162"/>
      <c r="AD522" s="162"/>
      <c r="AE522" s="162"/>
    </row>
    <row r="523" spans="1:31" s="924" customFormat="1">
      <c r="A523" s="162"/>
      <c r="B523" s="1764"/>
      <c r="C523" s="163"/>
      <c r="D523" s="163"/>
      <c r="E523" s="163"/>
      <c r="F523" s="163"/>
      <c r="G523" s="163"/>
      <c r="H523" s="163"/>
      <c r="I523" s="163"/>
      <c r="J523" s="163"/>
      <c r="K523" s="163"/>
      <c r="L523" s="163"/>
      <c r="M523" s="163"/>
      <c r="N523" s="163"/>
      <c r="O523" s="163"/>
      <c r="P523" s="163"/>
      <c r="Q523" s="162"/>
      <c r="R523" s="162"/>
      <c r="S523" s="162"/>
      <c r="T523" s="163"/>
      <c r="U523" s="162"/>
      <c r="V523" s="162"/>
      <c r="W523" s="162"/>
      <c r="X523" s="162"/>
      <c r="Y523" s="162"/>
      <c r="Z523" s="162"/>
      <c r="AA523" s="162"/>
      <c r="AB523" s="162"/>
      <c r="AC523" s="162"/>
      <c r="AD523" s="162"/>
      <c r="AE523" s="162"/>
    </row>
    <row r="524" spans="1:31" s="924" customFormat="1">
      <c r="A524" s="162"/>
      <c r="B524" s="1764"/>
      <c r="C524" s="163"/>
      <c r="D524" s="163"/>
      <c r="E524" s="163"/>
      <c r="F524" s="163"/>
      <c r="G524" s="163"/>
      <c r="H524" s="163"/>
      <c r="I524" s="163"/>
      <c r="J524" s="163"/>
      <c r="K524" s="163"/>
      <c r="L524" s="163"/>
      <c r="M524" s="163"/>
      <c r="N524" s="163"/>
      <c r="O524" s="163"/>
      <c r="P524" s="163"/>
      <c r="Q524" s="162"/>
      <c r="R524" s="162"/>
      <c r="S524" s="162"/>
      <c r="T524" s="163"/>
      <c r="U524" s="162"/>
      <c r="V524" s="162"/>
      <c r="W524" s="162"/>
      <c r="X524" s="162"/>
      <c r="Y524" s="162"/>
      <c r="Z524" s="162"/>
      <c r="AA524" s="162"/>
      <c r="AB524" s="162"/>
      <c r="AC524" s="162"/>
      <c r="AD524" s="162"/>
      <c r="AE524" s="162"/>
    </row>
    <row r="525" spans="1:31" s="924" customFormat="1">
      <c r="A525" s="162"/>
      <c r="B525" s="1764"/>
      <c r="C525" s="163"/>
      <c r="D525" s="163"/>
      <c r="E525" s="163"/>
      <c r="F525" s="163"/>
      <c r="G525" s="163"/>
      <c r="H525" s="163"/>
      <c r="I525" s="163"/>
      <c r="J525" s="163"/>
      <c r="K525" s="163"/>
      <c r="L525" s="163"/>
      <c r="M525" s="163"/>
      <c r="N525" s="163"/>
      <c r="O525" s="163"/>
      <c r="P525" s="163"/>
      <c r="Q525" s="162"/>
      <c r="R525" s="162"/>
      <c r="S525" s="162"/>
      <c r="T525" s="163"/>
      <c r="U525" s="162"/>
      <c r="V525" s="162"/>
      <c r="W525" s="162"/>
      <c r="X525" s="162"/>
      <c r="Y525" s="162"/>
      <c r="Z525" s="162"/>
      <c r="AA525" s="162"/>
      <c r="AB525" s="162"/>
      <c r="AC525" s="162"/>
      <c r="AD525" s="162"/>
      <c r="AE525" s="162"/>
    </row>
    <row r="526" spans="1:31" s="924" customFormat="1">
      <c r="A526" s="162"/>
      <c r="B526" s="1764"/>
      <c r="C526" s="163"/>
      <c r="D526" s="163"/>
      <c r="E526" s="163"/>
      <c r="F526" s="163"/>
      <c r="G526" s="163"/>
      <c r="H526" s="163"/>
      <c r="I526" s="163"/>
      <c r="J526" s="163"/>
      <c r="K526" s="163"/>
      <c r="L526" s="163"/>
      <c r="M526" s="163"/>
      <c r="N526" s="163"/>
      <c r="O526" s="163"/>
      <c r="P526" s="163"/>
      <c r="Q526" s="162"/>
      <c r="R526" s="162"/>
      <c r="S526" s="162"/>
      <c r="T526" s="163"/>
      <c r="U526" s="162"/>
      <c r="V526" s="162"/>
      <c r="W526" s="162"/>
      <c r="X526" s="162"/>
      <c r="Y526" s="162"/>
      <c r="Z526" s="162"/>
      <c r="AA526" s="162"/>
      <c r="AB526" s="162"/>
      <c r="AC526" s="162"/>
      <c r="AD526" s="162"/>
      <c r="AE526" s="162"/>
    </row>
    <row r="527" spans="1:31" s="924" customFormat="1">
      <c r="A527" s="162"/>
      <c r="B527" s="1764"/>
      <c r="C527" s="163"/>
      <c r="D527" s="163"/>
      <c r="E527" s="163"/>
      <c r="F527" s="163"/>
      <c r="G527" s="163"/>
      <c r="H527" s="163"/>
      <c r="I527" s="163"/>
      <c r="J527" s="163"/>
      <c r="K527" s="163"/>
      <c r="L527" s="163"/>
      <c r="M527" s="163"/>
      <c r="N527" s="163"/>
      <c r="O527" s="163"/>
      <c r="P527" s="163"/>
      <c r="Q527" s="162"/>
      <c r="R527" s="162"/>
      <c r="S527" s="162"/>
      <c r="T527" s="163"/>
      <c r="U527" s="162"/>
      <c r="V527" s="162"/>
      <c r="W527" s="162"/>
      <c r="X527" s="162"/>
      <c r="Y527" s="162"/>
      <c r="Z527" s="162"/>
      <c r="AA527" s="162"/>
      <c r="AB527" s="162"/>
      <c r="AC527" s="162"/>
      <c r="AD527" s="162"/>
      <c r="AE527" s="162"/>
    </row>
    <row r="528" spans="1:31" s="924" customFormat="1">
      <c r="A528" s="162"/>
      <c r="B528" s="1764"/>
      <c r="C528" s="163"/>
      <c r="D528" s="163"/>
      <c r="E528" s="163"/>
      <c r="F528" s="163"/>
      <c r="G528" s="163"/>
      <c r="H528" s="163"/>
      <c r="I528" s="163"/>
      <c r="J528" s="163"/>
      <c r="K528" s="163"/>
      <c r="L528" s="163"/>
      <c r="M528" s="163"/>
      <c r="N528" s="163"/>
      <c r="O528" s="163"/>
      <c r="P528" s="163"/>
      <c r="Q528" s="162"/>
      <c r="R528" s="162"/>
      <c r="S528" s="162"/>
      <c r="T528" s="163"/>
      <c r="U528" s="162"/>
      <c r="V528" s="162"/>
      <c r="W528" s="162"/>
      <c r="X528" s="162"/>
      <c r="Y528" s="162"/>
      <c r="Z528" s="162"/>
      <c r="AA528" s="162"/>
      <c r="AB528" s="162"/>
      <c r="AC528" s="162"/>
      <c r="AD528" s="162"/>
      <c r="AE528" s="162"/>
    </row>
    <row r="529" spans="1:31" s="924" customFormat="1">
      <c r="A529" s="162"/>
      <c r="B529" s="1764"/>
      <c r="C529" s="163"/>
      <c r="D529" s="163"/>
      <c r="E529" s="163"/>
      <c r="F529" s="163"/>
      <c r="G529" s="163"/>
      <c r="H529" s="163"/>
      <c r="I529" s="163"/>
      <c r="J529" s="163"/>
      <c r="K529" s="163"/>
      <c r="L529" s="163"/>
      <c r="M529" s="163"/>
      <c r="N529" s="163"/>
      <c r="O529" s="163"/>
      <c r="P529" s="163"/>
      <c r="Q529" s="162"/>
      <c r="R529" s="162"/>
      <c r="S529" s="162"/>
      <c r="T529" s="163"/>
      <c r="U529" s="162"/>
      <c r="V529" s="162"/>
      <c r="W529" s="162"/>
      <c r="X529" s="162"/>
      <c r="Y529" s="162"/>
      <c r="Z529" s="162"/>
      <c r="AA529" s="162"/>
      <c r="AB529" s="162"/>
      <c r="AC529" s="162"/>
      <c r="AD529" s="162"/>
      <c r="AE529" s="162"/>
    </row>
    <row r="530" spans="1:31" s="924" customFormat="1">
      <c r="A530" s="162"/>
      <c r="B530" s="1764"/>
      <c r="C530" s="163"/>
      <c r="D530" s="163"/>
      <c r="E530" s="163"/>
      <c r="F530" s="163"/>
      <c r="G530" s="163"/>
      <c r="H530" s="163"/>
      <c r="I530" s="163"/>
      <c r="J530" s="163"/>
      <c r="K530" s="163"/>
      <c r="L530" s="163"/>
      <c r="M530" s="163"/>
      <c r="N530" s="163"/>
      <c r="O530" s="163"/>
      <c r="P530" s="163"/>
      <c r="Q530" s="162"/>
      <c r="R530" s="162"/>
      <c r="S530" s="162"/>
      <c r="T530" s="163"/>
      <c r="U530" s="162"/>
      <c r="V530" s="162"/>
      <c r="W530" s="162"/>
      <c r="X530" s="162"/>
      <c r="Y530" s="162"/>
      <c r="Z530" s="162"/>
      <c r="AA530" s="162"/>
      <c r="AB530" s="162"/>
      <c r="AC530" s="162"/>
      <c r="AD530" s="162"/>
      <c r="AE530" s="162"/>
    </row>
    <row r="531" spans="1:31" s="924" customFormat="1">
      <c r="A531" s="162"/>
      <c r="B531" s="1764"/>
      <c r="C531" s="163"/>
      <c r="D531" s="163"/>
      <c r="E531" s="163"/>
      <c r="F531" s="163"/>
      <c r="G531" s="163"/>
      <c r="H531" s="163"/>
      <c r="I531" s="163"/>
      <c r="J531" s="163"/>
      <c r="K531" s="163"/>
      <c r="L531" s="163"/>
      <c r="M531" s="163"/>
      <c r="N531" s="163"/>
      <c r="O531" s="163"/>
      <c r="P531" s="163"/>
      <c r="Q531" s="162"/>
      <c r="R531" s="162"/>
      <c r="S531" s="162"/>
      <c r="T531" s="163"/>
      <c r="U531" s="162"/>
      <c r="V531" s="162"/>
      <c r="W531" s="162"/>
      <c r="X531" s="162"/>
      <c r="Y531" s="162"/>
      <c r="Z531" s="162"/>
      <c r="AA531" s="162"/>
      <c r="AB531" s="162"/>
      <c r="AC531" s="162"/>
      <c r="AD531" s="162"/>
      <c r="AE531" s="162"/>
    </row>
    <row r="532" spans="1:31" s="924" customFormat="1">
      <c r="A532" s="162"/>
      <c r="B532" s="1764"/>
      <c r="C532" s="163"/>
      <c r="D532" s="163"/>
      <c r="E532" s="163"/>
      <c r="F532" s="163"/>
      <c r="G532" s="163"/>
      <c r="H532" s="163"/>
      <c r="I532" s="163"/>
      <c r="J532" s="163"/>
      <c r="K532" s="163"/>
      <c r="L532" s="163"/>
      <c r="M532" s="163"/>
      <c r="N532" s="163"/>
      <c r="O532" s="163"/>
      <c r="P532" s="163"/>
      <c r="Q532" s="162"/>
      <c r="R532" s="162"/>
      <c r="S532" s="162"/>
      <c r="T532" s="163"/>
      <c r="U532" s="162"/>
      <c r="V532" s="162"/>
      <c r="W532" s="162"/>
      <c r="X532" s="162"/>
      <c r="Y532" s="162"/>
      <c r="Z532" s="162"/>
      <c r="AA532" s="162"/>
      <c r="AB532" s="162"/>
      <c r="AC532" s="162"/>
      <c r="AD532" s="162"/>
      <c r="AE532" s="162"/>
    </row>
    <row r="533" spans="1:31" s="924" customFormat="1">
      <c r="A533" s="162"/>
      <c r="B533" s="1764"/>
      <c r="C533" s="163"/>
      <c r="D533" s="163"/>
      <c r="E533" s="163"/>
      <c r="F533" s="163"/>
      <c r="G533" s="163"/>
      <c r="H533" s="163"/>
      <c r="I533" s="163"/>
      <c r="J533" s="163"/>
      <c r="K533" s="163"/>
      <c r="L533" s="163"/>
      <c r="M533" s="163"/>
      <c r="N533" s="163"/>
      <c r="O533" s="163"/>
      <c r="P533" s="163"/>
      <c r="Q533" s="162"/>
      <c r="R533" s="162"/>
      <c r="S533" s="162"/>
      <c r="T533" s="163"/>
      <c r="U533" s="162"/>
      <c r="V533" s="162"/>
      <c r="W533" s="162"/>
      <c r="X533" s="162"/>
      <c r="Y533" s="162"/>
      <c r="Z533" s="162"/>
      <c r="AA533" s="162"/>
      <c r="AB533" s="162"/>
      <c r="AC533" s="162"/>
      <c r="AD533" s="162"/>
      <c r="AE533" s="162"/>
    </row>
    <row r="534" spans="1:31" s="924" customFormat="1">
      <c r="A534" s="162"/>
      <c r="B534" s="1764"/>
      <c r="C534" s="163"/>
      <c r="D534" s="163"/>
      <c r="E534" s="163"/>
      <c r="F534" s="163"/>
      <c r="G534" s="163"/>
      <c r="H534" s="163"/>
      <c r="I534" s="163"/>
      <c r="J534" s="163"/>
      <c r="K534" s="163"/>
      <c r="L534" s="163"/>
      <c r="M534" s="163"/>
      <c r="N534" s="163"/>
      <c r="O534" s="163"/>
      <c r="P534" s="163"/>
      <c r="Q534" s="162"/>
      <c r="R534" s="162"/>
      <c r="S534" s="162"/>
      <c r="T534" s="163"/>
      <c r="U534" s="162"/>
      <c r="V534" s="162"/>
      <c r="W534" s="162"/>
      <c r="X534" s="162"/>
      <c r="Y534" s="162"/>
      <c r="Z534" s="162"/>
      <c r="AA534" s="162"/>
      <c r="AB534" s="162"/>
      <c r="AC534" s="162"/>
      <c r="AD534" s="162"/>
      <c r="AE534" s="162"/>
    </row>
    <row r="535" spans="1:31" s="924" customFormat="1">
      <c r="A535" s="162"/>
      <c r="B535" s="1764"/>
      <c r="C535" s="163"/>
      <c r="D535" s="163"/>
      <c r="E535" s="163"/>
      <c r="F535" s="163"/>
      <c r="G535" s="163"/>
      <c r="H535" s="163"/>
      <c r="I535" s="163"/>
      <c r="J535" s="163"/>
      <c r="K535" s="163"/>
      <c r="L535" s="163"/>
      <c r="M535" s="163"/>
      <c r="N535" s="163"/>
      <c r="O535" s="163"/>
      <c r="P535" s="163"/>
      <c r="Q535" s="162"/>
      <c r="R535" s="162"/>
      <c r="S535" s="162"/>
      <c r="T535" s="163"/>
      <c r="U535" s="162"/>
      <c r="V535" s="162"/>
      <c r="W535" s="162"/>
      <c r="X535" s="162"/>
      <c r="Y535" s="162"/>
      <c r="Z535" s="162"/>
      <c r="AA535" s="162"/>
      <c r="AB535" s="162"/>
      <c r="AC535" s="162"/>
      <c r="AD535" s="162"/>
      <c r="AE535" s="162"/>
    </row>
    <row r="536" spans="1:31" s="924" customFormat="1">
      <c r="A536" s="162"/>
      <c r="B536" s="1764"/>
      <c r="C536" s="163"/>
      <c r="D536" s="163"/>
      <c r="E536" s="163"/>
      <c r="F536" s="163"/>
      <c r="G536" s="163"/>
      <c r="H536" s="163"/>
      <c r="I536" s="163"/>
      <c r="J536" s="163"/>
      <c r="K536" s="163"/>
      <c r="L536" s="163"/>
      <c r="M536" s="163"/>
      <c r="N536" s="163"/>
      <c r="O536" s="163"/>
      <c r="P536" s="163"/>
      <c r="Q536" s="162"/>
      <c r="R536" s="162"/>
      <c r="S536" s="162"/>
      <c r="T536" s="163"/>
      <c r="U536" s="162"/>
      <c r="V536" s="162"/>
      <c r="W536" s="162"/>
      <c r="X536" s="162"/>
      <c r="Y536" s="162"/>
      <c r="Z536" s="162"/>
      <c r="AA536" s="162"/>
      <c r="AB536" s="162"/>
      <c r="AC536" s="162"/>
      <c r="AD536" s="162"/>
      <c r="AE536" s="162"/>
    </row>
    <row r="537" spans="1:31" s="924" customFormat="1">
      <c r="A537" s="162"/>
      <c r="B537" s="1764"/>
      <c r="C537" s="163"/>
      <c r="D537" s="163"/>
      <c r="E537" s="163"/>
      <c r="F537" s="163"/>
      <c r="G537" s="163"/>
      <c r="H537" s="163"/>
      <c r="I537" s="163"/>
      <c r="J537" s="163"/>
      <c r="K537" s="163"/>
      <c r="L537" s="163"/>
      <c r="M537" s="163"/>
      <c r="N537" s="163"/>
      <c r="O537" s="163"/>
      <c r="P537" s="163"/>
      <c r="Q537" s="162"/>
      <c r="R537" s="162"/>
      <c r="S537" s="162"/>
      <c r="T537" s="163"/>
      <c r="U537" s="162"/>
      <c r="V537" s="162"/>
      <c r="W537" s="162"/>
      <c r="X537" s="162"/>
      <c r="Y537" s="162"/>
      <c r="Z537" s="162"/>
      <c r="AA537" s="162"/>
      <c r="AB537" s="162"/>
      <c r="AC537" s="162"/>
      <c r="AD537" s="162"/>
      <c r="AE537" s="162"/>
    </row>
    <row r="538" spans="1:31" s="924" customFormat="1">
      <c r="A538" s="162"/>
      <c r="B538" s="1764"/>
      <c r="C538" s="163"/>
      <c r="D538" s="163"/>
      <c r="E538" s="163"/>
      <c r="F538" s="163"/>
      <c r="G538" s="163"/>
      <c r="H538" s="163"/>
      <c r="I538" s="163"/>
      <c r="J538" s="163"/>
      <c r="K538" s="163"/>
      <c r="L538" s="163"/>
      <c r="M538" s="163"/>
      <c r="N538" s="163"/>
      <c r="O538" s="163"/>
      <c r="P538" s="163"/>
      <c r="Q538" s="162"/>
      <c r="R538" s="162"/>
      <c r="S538" s="162"/>
      <c r="T538" s="163"/>
      <c r="U538" s="162"/>
      <c r="V538" s="162"/>
      <c r="W538" s="162"/>
      <c r="X538" s="162"/>
      <c r="Y538" s="162"/>
      <c r="Z538" s="162"/>
      <c r="AA538" s="162"/>
      <c r="AB538" s="162"/>
      <c r="AC538" s="162"/>
      <c r="AD538" s="162"/>
      <c r="AE538" s="162"/>
    </row>
    <row r="539" spans="1:31" s="924" customFormat="1">
      <c r="A539" s="162"/>
      <c r="B539" s="1764"/>
      <c r="C539" s="163"/>
      <c r="D539" s="163"/>
      <c r="E539" s="163"/>
      <c r="F539" s="163"/>
      <c r="G539" s="163"/>
      <c r="H539" s="163"/>
      <c r="I539" s="163"/>
      <c r="J539" s="163"/>
      <c r="K539" s="163"/>
      <c r="L539" s="163"/>
      <c r="M539" s="163"/>
      <c r="N539" s="163"/>
      <c r="O539" s="163"/>
      <c r="P539" s="163"/>
      <c r="Q539" s="162"/>
      <c r="R539" s="162"/>
      <c r="S539" s="162"/>
      <c r="T539" s="163"/>
      <c r="U539" s="162"/>
      <c r="V539" s="162"/>
      <c r="W539" s="162"/>
      <c r="X539" s="162"/>
      <c r="Y539" s="162"/>
      <c r="Z539" s="162"/>
      <c r="AA539" s="162"/>
      <c r="AB539" s="162"/>
      <c r="AC539" s="162"/>
      <c r="AD539" s="162"/>
      <c r="AE539" s="162"/>
    </row>
    <row r="540" spans="1:31" s="924" customFormat="1">
      <c r="A540" s="162"/>
      <c r="B540" s="1764"/>
      <c r="C540" s="163"/>
      <c r="D540" s="163"/>
      <c r="E540" s="163"/>
      <c r="F540" s="163"/>
      <c r="G540" s="163"/>
      <c r="H540" s="163"/>
      <c r="I540" s="163"/>
      <c r="J540" s="163"/>
      <c r="K540" s="163"/>
      <c r="L540" s="163"/>
      <c r="M540" s="163"/>
      <c r="N540" s="163"/>
      <c r="O540" s="163"/>
      <c r="P540" s="163"/>
      <c r="Q540" s="162"/>
      <c r="R540" s="162"/>
      <c r="S540" s="162"/>
      <c r="T540" s="163"/>
      <c r="U540" s="162"/>
      <c r="V540" s="162"/>
      <c r="W540" s="162"/>
      <c r="X540" s="162"/>
      <c r="Y540" s="162"/>
      <c r="Z540" s="162"/>
      <c r="AA540" s="162"/>
      <c r="AB540" s="162"/>
      <c r="AC540" s="162"/>
      <c r="AD540" s="162"/>
      <c r="AE540" s="162"/>
    </row>
    <row r="541" spans="1:31" s="924" customFormat="1">
      <c r="A541" s="162"/>
      <c r="B541" s="1764"/>
      <c r="C541" s="163"/>
      <c r="D541" s="163"/>
      <c r="E541" s="163"/>
      <c r="F541" s="163"/>
      <c r="G541" s="163"/>
      <c r="H541" s="163"/>
      <c r="I541" s="163"/>
      <c r="J541" s="163"/>
      <c r="K541" s="163"/>
      <c r="L541" s="163"/>
      <c r="M541" s="163"/>
      <c r="N541" s="163"/>
      <c r="O541" s="163"/>
      <c r="P541" s="163"/>
      <c r="Q541" s="162"/>
      <c r="R541" s="162"/>
      <c r="S541" s="162"/>
      <c r="T541" s="163"/>
      <c r="U541" s="162"/>
      <c r="V541" s="162"/>
      <c r="W541" s="162"/>
      <c r="X541" s="162"/>
      <c r="Y541" s="162"/>
      <c r="Z541" s="162"/>
      <c r="AA541" s="162"/>
      <c r="AB541" s="162"/>
      <c r="AC541" s="162"/>
      <c r="AD541" s="162"/>
      <c r="AE541" s="162"/>
    </row>
    <row r="542" spans="1:31" s="924" customFormat="1">
      <c r="A542" s="162"/>
      <c r="B542" s="1764"/>
      <c r="C542" s="163"/>
      <c r="D542" s="163"/>
      <c r="E542" s="163"/>
      <c r="F542" s="163"/>
      <c r="G542" s="163"/>
      <c r="H542" s="163"/>
      <c r="I542" s="163"/>
      <c r="J542" s="163"/>
      <c r="K542" s="163"/>
      <c r="L542" s="163"/>
      <c r="M542" s="163"/>
      <c r="N542" s="163"/>
      <c r="O542" s="163"/>
      <c r="P542" s="163"/>
      <c r="Q542" s="162"/>
      <c r="R542" s="162"/>
      <c r="S542" s="162"/>
      <c r="T542" s="163"/>
      <c r="U542" s="162"/>
      <c r="V542" s="162"/>
      <c r="W542" s="162"/>
      <c r="X542" s="162"/>
      <c r="Y542" s="162"/>
      <c r="Z542" s="162"/>
      <c r="AA542" s="162"/>
      <c r="AB542" s="162"/>
      <c r="AC542" s="162"/>
      <c r="AD542" s="162"/>
      <c r="AE542" s="162"/>
    </row>
    <row r="543" spans="1:31" s="924" customFormat="1">
      <c r="A543" s="162"/>
      <c r="B543" s="1764"/>
      <c r="C543" s="163"/>
      <c r="D543" s="163"/>
      <c r="E543" s="163"/>
      <c r="F543" s="163"/>
      <c r="G543" s="163"/>
      <c r="H543" s="163"/>
      <c r="I543" s="163"/>
      <c r="J543" s="163"/>
      <c r="K543" s="163"/>
      <c r="L543" s="163"/>
      <c r="M543" s="163"/>
      <c r="N543" s="163"/>
      <c r="O543" s="163"/>
      <c r="P543" s="163"/>
      <c r="Q543" s="162"/>
      <c r="R543" s="162"/>
      <c r="S543" s="162"/>
      <c r="T543" s="163"/>
      <c r="U543" s="162"/>
      <c r="V543" s="162"/>
      <c r="W543" s="162"/>
      <c r="X543" s="162"/>
      <c r="Y543" s="162"/>
      <c r="Z543" s="162"/>
      <c r="AA543" s="162"/>
      <c r="AB543" s="162"/>
      <c r="AC543" s="162"/>
      <c r="AD543" s="162"/>
      <c r="AE543" s="162"/>
    </row>
    <row r="544" spans="1:31" s="924" customFormat="1">
      <c r="A544" s="162"/>
      <c r="B544" s="1764"/>
      <c r="C544" s="163"/>
      <c r="D544" s="163"/>
      <c r="E544" s="163"/>
      <c r="F544" s="163"/>
      <c r="G544" s="163"/>
      <c r="H544" s="163"/>
      <c r="I544" s="163"/>
      <c r="J544" s="163"/>
      <c r="K544" s="163"/>
      <c r="L544" s="163"/>
      <c r="M544" s="163"/>
      <c r="N544" s="163"/>
      <c r="O544" s="163"/>
      <c r="P544" s="163"/>
      <c r="Q544" s="162"/>
      <c r="R544" s="162"/>
      <c r="S544" s="162"/>
      <c r="T544" s="163"/>
      <c r="U544" s="162"/>
      <c r="V544" s="162"/>
      <c r="W544" s="162"/>
      <c r="X544" s="162"/>
      <c r="Y544" s="162"/>
      <c r="Z544" s="162"/>
      <c r="AA544" s="162"/>
      <c r="AB544" s="162"/>
      <c r="AC544" s="162"/>
      <c r="AD544" s="162"/>
      <c r="AE544" s="162"/>
    </row>
    <row r="545" spans="1:31" s="924" customFormat="1">
      <c r="A545" s="162"/>
      <c r="B545" s="1764"/>
      <c r="C545" s="163"/>
      <c r="D545" s="163"/>
      <c r="E545" s="163"/>
      <c r="F545" s="163"/>
      <c r="G545" s="163"/>
      <c r="H545" s="163"/>
      <c r="I545" s="163"/>
      <c r="J545" s="163"/>
      <c r="K545" s="163"/>
      <c r="L545" s="163"/>
      <c r="M545" s="163"/>
      <c r="N545" s="163"/>
      <c r="O545" s="163"/>
      <c r="P545" s="163"/>
      <c r="Q545" s="162"/>
      <c r="R545" s="162"/>
      <c r="S545" s="162"/>
      <c r="T545" s="163"/>
      <c r="U545" s="162"/>
      <c r="V545" s="162"/>
      <c r="W545" s="162"/>
      <c r="X545" s="162"/>
      <c r="Y545" s="162"/>
      <c r="Z545" s="162"/>
      <c r="AA545" s="162"/>
      <c r="AB545" s="162"/>
      <c r="AC545" s="162"/>
      <c r="AD545" s="162"/>
      <c r="AE545" s="162"/>
    </row>
    <row r="546" spans="1:31" s="924" customFormat="1">
      <c r="A546" s="162"/>
      <c r="B546" s="1764"/>
      <c r="C546" s="163"/>
      <c r="D546" s="163"/>
      <c r="E546" s="163"/>
      <c r="F546" s="163"/>
      <c r="G546" s="163"/>
      <c r="H546" s="163"/>
      <c r="I546" s="163"/>
      <c r="J546" s="163"/>
      <c r="K546" s="163"/>
      <c r="L546" s="163"/>
      <c r="M546" s="163"/>
      <c r="N546" s="163"/>
      <c r="O546" s="163"/>
      <c r="P546" s="163"/>
      <c r="Q546" s="162"/>
      <c r="R546" s="162"/>
      <c r="S546" s="162"/>
      <c r="T546" s="163"/>
      <c r="U546" s="162"/>
      <c r="V546" s="162"/>
      <c r="W546" s="162"/>
      <c r="X546" s="162"/>
      <c r="Y546" s="162"/>
      <c r="Z546" s="162"/>
      <c r="AA546" s="162"/>
      <c r="AB546" s="162"/>
      <c r="AC546" s="162"/>
      <c r="AD546" s="162"/>
      <c r="AE546" s="162"/>
    </row>
    <row r="547" spans="1:31" s="924" customFormat="1">
      <c r="A547" s="162"/>
      <c r="B547" s="1764"/>
      <c r="C547" s="163"/>
      <c r="D547" s="163"/>
      <c r="E547" s="163"/>
      <c r="F547" s="163"/>
      <c r="G547" s="163"/>
      <c r="H547" s="163"/>
      <c r="I547" s="163"/>
      <c r="J547" s="163"/>
      <c r="K547" s="163"/>
      <c r="L547" s="163"/>
      <c r="M547" s="163"/>
      <c r="N547" s="163"/>
      <c r="O547" s="163"/>
      <c r="P547" s="163"/>
      <c r="Q547" s="162"/>
      <c r="R547" s="162"/>
      <c r="S547" s="162"/>
      <c r="T547" s="163"/>
      <c r="U547" s="162"/>
      <c r="V547" s="162"/>
      <c r="W547" s="162"/>
      <c r="X547" s="162"/>
      <c r="Y547" s="162"/>
      <c r="Z547" s="162"/>
      <c r="AA547" s="162"/>
      <c r="AB547" s="162"/>
      <c r="AC547" s="162"/>
      <c r="AD547" s="162"/>
      <c r="AE547" s="162"/>
    </row>
    <row r="548" spans="1:31" s="924" customFormat="1">
      <c r="A548" s="162"/>
      <c r="B548" s="1764"/>
      <c r="C548" s="163"/>
      <c r="D548" s="163"/>
      <c r="E548" s="163"/>
      <c r="F548" s="163"/>
      <c r="G548" s="163"/>
      <c r="H548" s="163"/>
      <c r="I548" s="163"/>
      <c r="J548" s="163"/>
      <c r="K548" s="163"/>
      <c r="L548" s="163"/>
      <c r="M548" s="163"/>
      <c r="N548" s="163"/>
      <c r="O548" s="163"/>
      <c r="P548" s="163"/>
      <c r="Q548" s="162"/>
      <c r="R548" s="162"/>
      <c r="S548" s="162"/>
      <c r="T548" s="163"/>
      <c r="U548" s="162"/>
      <c r="V548" s="162"/>
      <c r="W548" s="162"/>
      <c r="X548" s="162"/>
      <c r="Y548" s="162"/>
      <c r="Z548" s="162"/>
      <c r="AA548" s="162"/>
      <c r="AB548" s="162"/>
      <c r="AC548" s="162"/>
      <c r="AD548" s="162"/>
      <c r="AE548" s="162"/>
    </row>
    <row r="549" spans="1:31" s="924" customFormat="1">
      <c r="A549" s="162"/>
      <c r="B549" s="1764"/>
      <c r="C549" s="163"/>
      <c r="D549" s="163"/>
      <c r="E549" s="163"/>
      <c r="F549" s="163"/>
      <c r="G549" s="163"/>
      <c r="H549" s="163"/>
      <c r="I549" s="163"/>
      <c r="J549" s="163"/>
      <c r="K549" s="163"/>
      <c r="L549" s="163"/>
      <c r="M549" s="163"/>
      <c r="N549" s="163"/>
      <c r="O549" s="163"/>
      <c r="P549" s="163"/>
      <c r="Q549" s="162"/>
      <c r="R549" s="162"/>
      <c r="S549" s="162"/>
      <c r="T549" s="163"/>
      <c r="U549" s="162"/>
      <c r="V549" s="162"/>
      <c r="W549" s="162"/>
      <c r="X549" s="162"/>
      <c r="Y549" s="162"/>
      <c r="Z549" s="162"/>
      <c r="AA549" s="162"/>
      <c r="AB549" s="162"/>
      <c r="AC549" s="162"/>
      <c r="AD549" s="162"/>
      <c r="AE549" s="162"/>
    </row>
    <row r="550" spans="1:31" s="924" customFormat="1">
      <c r="A550" s="162"/>
      <c r="B550" s="1764"/>
      <c r="C550" s="163"/>
      <c r="D550" s="163"/>
      <c r="E550" s="163"/>
      <c r="F550" s="163"/>
      <c r="G550" s="163"/>
      <c r="H550" s="163"/>
      <c r="I550" s="163"/>
      <c r="J550" s="163"/>
      <c r="K550" s="163"/>
      <c r="L550" s="163"/>
      <c r="M550" s="163"/>
      <c r="N550" s="163"/>
      <c r="O550" s="163"/>
      <c r="P550" s="163"/>
      <c r="Q550" s="162"/>
      <c r="R550" s="162"/>
      <c r="S550" s="162"/>
      <c r="T550" s="163"/>
      <c r="U550" s="162"/>
      <c r="V550" s="162"/>
      <c r="W550" s="162"/>
      <c r="X550" s="162"/>
      <c r="Y550" s="162"/>
      <c r="Z550" s="162"/>
      <c r="AA550" s="162"/>
      <c r="AB550" s="162"/>
      <c r="AC550" s="162"/>
      <c r="AD550" s="162"/>
      <c r="AE550" s="162"/>
    </row>
    <row r="551" spans="1:31" s="924" customFormat="1">
      <c r="A551" s="162"/>
      <c r="B551" s="1764"/>
      <c r="C551" s="163"/>
      <c r="D551" s="163"/>
      <c r="E551" s="163"/>
      <c r="F551" s="163"/>
      <c r="G551" s="163"/>
      <c r="H551" s="163"/>
      <c r="I551" s="163"/>
      <c r="J551" s="163"/>
      <c r="K551" s="163"/>
      <c r="L551" s="163"/>
      <c r="M551" s="163"/>
      <c r="N551" s="163"/>
      <c r="O551" s="163"/>
      <c r="P551" s="163"/>
      <c r="Q551" s="162"/>
      <c r="R551" s="162"/>
      <c r="S551" s="162"/>
      <c r="T551" s="163"/>
      <c r="U551" s="162"/>
      <c r="V551" s="162"/>
      <c r="W551" s="162"/>
      <c r="X551" s="162"/>
      <c r="Y551" s="162"/>
      <c r="Z551" s="162"/>
      <c r="AA551" s="162"/>
      <c r="AB551" s="162"/>
      <c r="AC551" s="162"/>
      <c r="AD551" s="162"/>
      <c r="AE551" s="162"/>
    </row>
    <row r="552" spans="1:31" s="924" customFormat="1">
      <c r="A552" s="162"/>
      <c r="B552" s="1764"/>
      <c r="C552" s="163"/>
      <c r="D552" s="163"/>
      <c r="E552" s="163"/>
      <c r="F552" s="163"/>
      <c r="G552" s="163"/>
      <c r="H552" s="163"/>
      <c r="I552" s="163"/>
      <c r="J552" s="163"/>
      <c r="K552" s="163"/>
      <c r="L552" s="163"/>
      <c r="M552" s="163"/>
      <c r="N552" s="163"/>
      <c r="O552" s="163"/>
      <c r="P552" s="163"/>
      <c r="Q552" s="162"/>
      <c r="R552" s="162"/>
      <c r="S552" s="162"/>
      <c r="T552" s="163"/>
      <c r="U552" s="162"/>
      <c r="V552" s="162"/>
      <c r="W552" s="162"/>
      <c r="X552" s="162"/>
      <c r="Y552" s="162"/>
      <c r="Z552" s="162"/>
      <c r="AA552" s="162"/>
      <c r="AB552" s="162"/>
      <c r="AC552" s="162"/>
      <c r="AD552" s="162"/>
      <c r="AE552" s="162"/>
    </row>
    <row r="553" spans="1:31" s="924" customFormat="1">
      <c r="A553" s="162"/>
      <c r="B553" s="1764"/>
      <c r="C553" s="163"/>
      <c r="D553" s="163"/>
      <c r="E553" s="163"/>
      <c r="F553" s="163"/>
      <c r="G553" s="163"/>
      <c r="H553" s="163"/>
      <c r="I553" s="163"/>
      <c r="J553" s="163"/>
      <c r="K553" s="163"/>
      <c r="L553" s="163"/>
      <c r="M553" s="163"/>
      <c r="N553" s="163"/>
      <c r="O553" s="163"/>
      <c r="P553" s="163"/>
      <c r="Q553" s="162"/>
      <c r="R553" s="162"/>
      <c r="S553" s="162"/>
      <c r="T553" s="163"/>
      <c r="U553" s="162"/>
      <c r="V553" s="162"/>
      <c r="W553" s="162"/>
      <c r="X553" s="162"/>
      <c r="Y553" s="162"/>
      <c r="Z553" s="162"/>
      <c r="AA553" s="162"/>
      <c r="AB553" s="162"/>
      <c r="AC553" s="162"/>
      <c r="AD553" s="162"/>
      <c r="AE553" s="162"/>
    </row>
    <row r="554" spans="1:31" s="924" customFormat="1">
      <c r="A554" s="162"/>
      <c r="B554" s="1764"/>
      <c r="C554" s="163"/>
      <c r="D554" s="163"/>
      <c r="E554" s="163"/>
      <c r="F554" s="163"/>
      <c r="G554" s="163"/>
      <c r="H554" s="163"/>
      <c r="I554" s="163"/>
      <c r="J554" s="163"/>
      <c r="K554" s="163"/>
      <c r="L554" s="163"/>
      <c r="M554" s="163"/>
      <c r="N554" s="163"/>
      <c r="O554" s="163"/>
      <c r="P554" s="163"/>
      <c r="Q554" s="162"/>
      <c r="R554" s="162"/>
      <c r="S554" s="162"/>
      <c r="T554" s="163"/>
      <c r="U554" s="162"/>
      <c r="V554" s="162"/>
      <c r="W554" s="162"/>
      <c r="X554" s="162"/>
      <c r="Y554" s="162"/>
      <c r="Z554" s="162"/>
      <c r="AA554" s="162"/>
      <c r="AB554" s="162"/>
      <c r="AC554" s="162"/>
      <c r="AD554" s="162"/>
      <c r="AE554" s="162"/>
    </row>
    <row r="555" spans="1:31" s="924" customFormat="1">
      <c r="A555" s="162"/>
      <c r="B555" s="1764"/>
      <c r="C555" s="163"/>
      <c r="D555" s="163"/>
      <c r="E555" s="163"/>
      <c r="F555" s="163"/>
      <c r="G555" s="163"/>
      <c r="H555" s="163"/>
      <c r="I555" s="163"/>
      <c r="J555" s="163"/>
      <c r="K555" s="163"/>
      <c r="L555" s="163"/>
      <c r="M555" s="163"/>
      <c r="N555" s="163"/>
      <c r="O555" s="163"/>
      <c r="P555" s="163"/>
      <c r="Q555" s="162"/>
      <c r="R555" s="162"/>
      <c r="S555" s="162"/>
      <c r="T555" s="163"/>
      <c r="U555" s="162"/>
      <c r="V555" s="162"/>
      <c r="W555" s="162"/>
      <c r="X555" s="162"/>
      <c r="Y555" s="162"/>
      <c r="Z555" s="162"/>
      <c r="AA555" s="162"/>
      <c r="AB555" s="162"/>
      <c r="AC555" s="162"/>
      <c r="AD555" s="162"/>
      <c r="AE555" s="162"/>
    </row>
    <row r="556" spans="1:31" s="924" customFormat="1">
      <c r="A556" s="162"/>
      <c r="B556" s="1764"/>
      <c r="C556" s="163"/>
      <c r="D556" s="163"/>
      <c r="E556" s="163"/>
      <c r="F556" s="163"/>
      <c r="G556" s="163"/>
      <c r="H556" s="163"/>
      <c r="I556" s="163"/>
      <c r="J556" s="163"/>
      <c r="K556" s="163"/>
      <c r="L556" s="163"/>
      <c r="M556" s="163"/>
      <c r="N556" s="163"/>
      <c r="O556" s="163"/>
      <c r="P556" s="163"/>
      <c r="Q556" s="162"/>
      <c r="R556" s="162"/>
      <c r="S556" s="162"/>
      <c r="T556" s="163"/>
      <c r="U556" s="162"/>
      <c r="V556" s="162"/>
      <c r="W556" s="162"/>
      <c r="X556" s="162"/>
      <c r="Y556" s="162"/>
      <c r="Z556" s="162"/>
      <c r="AA556" s="162"/>
      <c r="AB556" s="162"/>
      <c r="AC556" s="162"/>
      <c r="AD556" s="162"/>
      <c r="AE556" s="162"/>
    </row>
    <row r="557" spans="1:31" s="924" customFormat="1">
      <c r="A557" s="162"/>
      <c r="B557" s="1764"/>
      <c r="C557" s="163"/>
      <c r="D557" s="163"/>
      <c r="E557" s="163"/>
      <c r="F557" s="163"/>
      <c r="G557" s="163"/>
      <c r="H557" s="163"/>
      <c r="I557" s="163"/>
      <c r="J557" s="163"/>
      <c r="K557" s="163"/>
      <c r="L557" s="163"/>
      <c r="M557" s="163"/>
      <c r="N557" s="163"/>
      <c r="O557" s="163"/>
      <c r="P557" s="163"/>
      <c r="Q557" s="162"/>
      <c r="R557" s="162"/>
      <c r="S557" s="162"/>
      <c r="T557" s="163"/>
      <c r="U557" s="162"/>
      <c r="V557" s="162"/>
      <c r="W557" s="162"/>
      <c r="X557" s="162"/>
      <c r="Y557" s="162"/>
      <c r="Z557" s="162"/>
      <c r="AA557" s="162"/>
      <c r="AB557" s="162"/>
      <c r="AC557" s="162"/>
      <c r="AD557" s="162"/>
      <c r="AE557" s="162"/>
    </row>
    <row r="558" spans="1:31" s="924" customFormat="1">
      <c r="A558" s="162"/>
      <c r="B558" s="1764"/>
      <c r="C558" s="163"/>
      <c r="D558" s="163"/>
      <c r="E558" s="163"/>
      <c r="F558" s="163"/>
      <c r="G558" s="163"/>
      <c r="H558" s="163"/>
      <c r="I558" s="163"/>
      <c r="J558" s="163"/>
      <c r="K558" s="163"/>
      <c r="L558" s="163"/>
      <c r="M558" s="163"/>
      <c r="N558" s="163"/>
      <c r="O558" s="163"/>
      <c r="P558" s="163"/>
      <c r="Q558" s="162"/>
      <c r="R558" s="162"/>
      <c r="S558" s="162"/>
      <c r="T558" s="163"/>
      <c r="U558" s="162"/>
      <c r="V558" s="162"/>
      <c r="W558" s="162"/>
      <c r="X558" s="162"/>
      <c r="Y558" s="162"/>
      <c r="Z558" s="162"/>
      <c r="AA558" s="162"/>
      <c r="AB558" s="162"/>
      <c r="AC558" s="162"/>
      <c r="AD558" s="162"/>
      <c r="AE558" s="162"/>
    </row>
    <row r="559" spans="1:31" s="924" customFormat="1">
      <c r="A559" s="162"/>
      <c r="B559" s="1764"/>
      <c r="C559" s="163"/>
      <c r="D559" s="163"/>
      <c r="E559" s="163"/>
      <c r="F559" s="163"/>
      <c r="G559" s="163"/>
      <c r="H559" s="163"/>
      <c r="I559" s="163"/>
      <c r="J559" s="163"/>
      <c r="K559" s="163"/>
      <c r="L559" s="163"/>
      <c r="M559" s="163"/>
      <c r="N559" s="163"/>
      <c r="O559" s="163"/>
      <c r="P559" s="163"/>
      <c r="Q559" s="162"/>
      <c r="R559" s="162"/>
      <c r="S559" s="162"/>
      <c r="T559" s="163"/>
      <c r="U559" s="162"/>
      <c r="V559" s="162"/>
      <c r="W559" s="162"/>
      <c r="X559" s="162"/>
      <c r="Y559" s="162"/>
      <c r="Z559" s="162"/>
      <c r="AA559" s="162"/>
      <c r="AB559" s="162"/>
      <c r="AC559" s="162"/>
      <c r="AD559" s="162"/>
      <c r="AE559" s="162"/>
    </row>
    <row r="560" spans="1:31" s="924" customFormat="1">
      <c r="A560" s="162"/>
      <c r="B560" s="1764"/>
      <c r="C560" s="163"/>
      <c r="D560" s="163"/>
      <c r="E560" s="163"/>
      <c r="F560" s="163"/>
      <c r="G560" s="163"/>
      <c r="H560" s="163"/>
      <c r="I560" s="163"/>
      <c r="J560" s="163"/>
      <c r="K560" s="163"/>
      <c r="L560" s="163"/>
      <c r="M560" s="163"/>
      <c r="N560" s="163"/>
      <c r="O560" s="163"/>
      <c r="P560" s="163"/>
      <c r="Q560" s="162"/>
      <c r="R560" s="162"/>
      <c r="S560" s="162"/>
      <c r="T560" s="163"/>
      <c r="U560" s="162"/>
      <c r="V560" s="162"/>
      <c r="W560" s="162"/>
      <c r="X560" s="162"/>
      <c r="Y560" s="162"/>
      <c r="Z560" s="162"/>
      <c r="AA560" s="162"/>
      <c r="AB560" s="162"/>
      <c r="AC560" s="162"/>
      <c r="AD560" s="162"/>
      <c r="AE560" s="162"/>
    </row>
    <row r="561" spans="1:31" s="924" customFormat="1">
      <c r="A561" s="162"/>
      <c r="B561" s="1764"/>
      <c r="C561" s="163"/>
      <c r="D561" s="163"/>
      <c r="E561" s="163"/>
      <c r="F561" s="163"/>
      <c r="G561" s="163"/>
      <c r="H561" s="163"/>
      <c r="I561" s="163"/>
      <c r="J561" s="163"/>
      <c r="K561" s="163"/>
      <c r="L561" s="163"/>
      <c r="M561" s="163"/>
      <c r="N561" s="163"/>
      <c r="O561" s="163"/>
      <c r="P561" s="163"/>
      <c r="Q561" s="162"/>
      <c r="R561" s="162"/>
      <c r="S561" s="162"/>
      <c r="T561" s="163"/>
      <c r="U561" s="162"/>
      <c r="V561" s="162"/>
      <c r="W561" s="162"/>
      <c r="X561" s="162"/>
      <c r="Y561" s="162"/>
      <c r="Z561" s="162"/>
      <c r="AA561" s="162"/>
      <c r="AB561" s="162"/>
      <c r="AC561" s="162"/>
      <c r="AD561" s="162"/>
      <c r="AE561" s="162"/>
    </row>
    <row r="562" spans="1:31" s="924" customFormat="1">
      <c r="A562" s="162"/>
      <c r="B562" s="1764"/>
      <c r="C562" s="163"/>
      <c r="D562" s="163"/>
      <c r="E562" s="163"/>
      <c r="F562" s="163"/>
      <c r="G562" s="163"/>
      <c r="H562" s="163"/>
      <c r="I562" s="163"/>
      <c r="J562" s="163"/>
      <c r="K562" s="163"/>
      <c r="L562" s="163"/>
      <c r="M562" s="163"/>
      <c r="N562" s="163"/>
      <c r="O562" s="163"/>
      <c r="P562" s="163"/>
      <c r="Q562" s="162"/>
      <c r="R562" s="162"/>
      <c r="S562" s="162"/>
      <c r="T562" s="163"/>
      <c r="U562" s="162"/>
      <c r="V562" s="162"/>
      <c r="W562" s="162"/>
      <c r="X562" s="162"/>
      <c r="Y562" s="162"/>
      <c r="Z562" s="162"/>
      <c r="AA562" s="162"/>
      <c r="AB562" s="162"/>
      <c r="AC562" s="162"/>
      <c r="AD562" s="162"/>
      <c r="AE562" s="162"/>
    </row>
    <row r="563" spans="1:31" s="924" customFormat="1">
      <c r="A563" s="162"/>
      <c r="B563" s="1764"/>
      <c r="C563" s="163"/>
      <c r="D563" s="163"/>
      <c r="E563" s="163"/>
      <c r="F563" s="163"/>
      <c r="G563" s="163"/>
      <c r="H563" s="163"/>
      <c r="I563" s="163"/>
      <c r="J563" s="163"/>
      <c r="K563" s="163"/>
      <c r="L563" s="163"/>
      <c r="M563" s="163"/>
      <c r="N563" s="163"/>
      <c r="O563" s="163"/>
      <c r="P563" s="163"/>
      <c r="Q563" s="162"/>
      <c r="R563" s="162"/>
      <c r="S563" s="162"/>
      <c r="T563" s="163"/>
      <c r="U563" s="162"/>
      <c r="V563" s="162"/>
      <c r="W563" s="162"/>
      <c r="X563" s="162"/>
      <c r="Y563" s="162"/>
      <c r="Z563" s="162"/>
      <c r="AA563" s="162"/>
      <c r="AB563" s="162"/>
      <c r="AC563" s="162"/>
      <c r="AD563" s="162"/>
      <c r="AE563" s="162"/>
    </row>
    <row r="564" spans="1:31" s="924" customFormat="1">
      <c r="A564" s="162"/>
      <c r="B564" s="1764"/>
      <c r="C564" s="163"/>
      <c r="D564" s="163"/>
      <c r="E564" s="163"/>
      <c r="F564" s="163"/>
      <c r="G564" s="163"/>
      <c r="H564" s="163"/>
      <c r="I564" s="163"/>
      <c r="J564" s="163"/>
      <c r="K564" s="163"/>
      <c r="L564" s="163"/>
      <c r="M564" s="163"/>
      <c r="N564" s="163"/>
      <c r="O564" s="163"/>
      <c r="P564" s="163"/>
      <c r="Q564" s="162"/>
      <c r="R564" s="162"/>
      <c r="S564" s="162"/>
      <c r="T564" s="163"/>
      <c r="U564" s="162"/>
      <c r="V564" s="162"/>
      <c r="W564" s="162"/>
      <c r="X564" s="162"/>
      <c r="Y564" s="162"/>
      <c r="Z564" s="162"/>
      <c r="AA564" s="162"/>
      <c r="AB564" s="162"/>
      <c r="AC564" s="162"/>
      <c r="AD564" s="162"/>
      <c r="AE564" s="162"/>
    </row>
    <row r="565" spans="1:31" s="924" customFormat="1">
      <c r="A565" s="162"/>
      <c r="B565" s="1764"/>
      <c r="C565" s="163"/>
      <c r="D565" s="163"/>
      <c r="E565" s="163"/>
      <c r="F565" s="163"/>
      <c r="G565" s="163"/>
      <c r="H565" s="163"/>
      <c r="I565" s="163"/>
      <c r="J565" s="163"/>
      <c r="K565" s="163"/>
      <c r="L565" s="163"/>
      <c r="M565" s="163"/>
      <c r="N565" s="163"/>
      <c r="O565" s="163"/>
      <c r="P565" s="163"/>
      <c r="Q565" s="162"/>
      <c r="R565" s="162"/>
      <c r="S565" s="162"/>
      <c r="T565" s="163"/>
      <c r="U565" s="162"/>
      <c r="V565" s="162"/>
      <c r="W565" s="162"/>
      <c r="X565" s="162"/>
      <c r="Y565" s="162"/>
      <c r="Z565" s="162"/>
      <c r="AA565" s="162"/>
      <c r="AB565" s="162"/>
      <c r="AC565" s="162"/>
      <c r="AD565" s="162"/>
      <c r="AE565" s="162"/>
    </row>
    <row r="566" spans="1:31" s="924" customFormat="1">
      <c r="A566" s="162"/>
      <c r="B566" s="1764"/>
      <c r="C566" s="163"/>
      <c r="D566" s="163"/>
      <c r="E566" s="163"/>
      <c r="F566" s="163"/>
      <c r="G566" s="163"/>
      <c r="H566" s="163"/>
      <c r="I566" s="163"/>
      <c r="J566" s="163"/>
      <c r="K566" s="163"/>
      <c r="L566" s="163"/>
      <c r="M566" s="163"/>
      <c r="N566" s="163"/>
      <c r="O566" s="163"/>
      <c r="P566" s="163"/>
      <c r="Q566" s="162"/>
      <c r="R566" s="162"/>
      <c r="S566" s="162"/>
      <c r="T566" s="163"/>
      <c r="U566" s="162"/>
      <c r="V566" s="162"/>
      <c r="W566" s="162"/>
      <c r="X566" s="162"/>
      <c r="Y566" s="162"/>
      <c r="Z566" s="162"/>
      <c r="AA566" s="162"/>
      <c r="AB566" s="162"/>
      <c r="AC566" s="162"/>
      <c r="AD566" s="162"/>
      <c r="AE566" s="162"/>
    </row>
    <row r="567" spans="1:31" s="924" customFormat="1">
      <c r="A567" s="162"/>
      <c r="B567" s="1764"/>
      <c r="C567" s="163"/>
      <c r="D567" s="163"/>
      <c r="E567" s="163"/>
      <c r="F567" s="163"/>
      <c r="G567" s="163"/>
      <c r="H567" s="163"/>
      <c r="I567" s="163"/>
      <c r="J567" s="163"/>
      <c r="K567" s="163"/>
      <c r="L567" s="163"/>
      <c r="M567" s="163"/>
      <c r="N567" s="163"/>
      <c r="O567" s="163"/>
      <c r="P567" s="163"/>
      <c r="Q567" s="162"/>
      <c r="R567" s="162"/>
      <c r="S567" s="162"/>
      <c r="T567" s="163"/>
      <c r="U567" s="162"/>
      <c r="V567" s="162"/>
      <c r="W567" s="162"/>
      <c r="X567" s="162"/>
      <c r="Y567" s="162"/>
      <c r="Z567" s="162"/>
      <c r="AA567" s="162"/>
      <c r="AB567" s="162"/>
      <c r="AC567" s="162"/>
      <c r="AD567" s="162"/>
      <c r="AE567" s="162"/>
    </row>
  </sheetData>
  <sheetProtection algorithmName="SHA-512" hashValue="x/Qd5kuOjprdfWXNkv3SLpmE5GMGeRazWYGRqWq14AevqGeeSeVnA7L1BHywm7fkfHVt/js7GxO6zQbnSBp+2g==" saltValue="bjrnQtaGptC0qQN8y5vnKw==" spinCount="100000" sheet="1" objects="1" scenarios="1"/>
  <mergeCells count="27">
    <mergeCell ref="A75:D75"/>
    <mergeCell ref="I68:N68"/>
    <mergeCell ref="I70:N70"/>
    <mergeCell ref="I73:N73"/>
    <mergeCell ref="I75:N75"/>
    <mergeCell ref="A71:D71"/>
    <mergeCell ref="M5:M6"/>
    <mergeCell ref="O5:O6"/>
    <mergeCell ref="A68:D68"/>
    <mergeCell ref="A70:D70"/>
    <mergeCell ref="A73:D73"/>
    <mergeCell ref="R5:R6"/>
    <mergeCell ref="S5:S6"/>
    <mergeCell ref="A3:Q3"/>
    <mergeCell ref="A5:A6"/>
    <mergeCell ref="B5:B6"/>
    <mergeCell ref="C5:C6"/>
    <mergeCell ref="E5:E6"/>
    <mergeCell ref="G5:G6"/>
    <mergeCell ref="H5:H6"/>
    <mergeCell ref="J5:J6"/>
    <mergeCell ref="L5:L6"/>
    <mergeCell ref="N5:N6"/>
    <mergeCell ref="P5:P6"/>
    <mergeCell ref="F5:F6"/>
    <mergeCell ref="I5:I6"/>
    <mergeCell ref="K5:K6"/>
  </mergeCells>
  <phoneticPr fontId="0" type="noConversion"/>
  <printOptions horizontalCentered="1"/>
  <pageMargins left="0.19685039370078741" right="0.19685039370078741" top="0.19685039370078741" bottom="0" header="0.51181102362204722" footer="0.51181102362204722"/>
  <pageSetup paperSize="9" scale="63" firstPageNumber="0" orientation="landscape" horizontalDpi="300" verticalDpi="300" r:id="rId1"/>
  <headerFooter alignWithMargins="0">
    <oddFooter>&amp;A&amp;RPagina &amp;P</oddFooter>
  </headerFooter>
  <rowBreaks count="3" manualBreakCount="3">
    <brk id="32" max="16" man="1"/>
    <brk id="58" max="16" man="1"/>
    <brk id="77"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60">
    <tabColor rgb="FFC00000"/>
  </sheetPr>
  <dimension ref="A1:AA81"/>
  <sheetViews>
    <sheetView showZeros="0" topLeftCell="B1" zoomScaleNormal="100" workbookViewId="0">
      <pane xSplit="2" ySplit="8" topLeftCell="D69" activePane="bottomRight" state="frozen"/>
      <selection activeCell="E20" sqref="E20"/>
      <selection pane="topRight" activeCell="E20" sqref="E20"/>
      <selection pane="bottomLeft" activeCell="E20" sqref="E20"/>
      <selection pane="bottomRight" activeCell="G14" sqref="G14"/>
    </sheetView>
  </sheetViews>
  <sheetFormatPr defaultColWidth="9.140625" defaultRowHeight="12.75"/>
  <cols>
    <col min="1" max="1" width="0" style="1171" hidden="1" customWidth="1"/>
    <col min="2" max="2" width="31.42578125" style="1171" customWidth="1"/>
    <col min="3" max="3" width="5.7109375" style="1171" customWidth="1"/>
    <col min="4" max="4" width="11" style="1171" customWidth="1"/>
    <col min="5" max="5" width="7.7109375" style="1171" customWidth="1"/>
    <col min="6" max="6" width="12.28515625" style="1171" customWidth="1"/>
    <col min="7" max="7" width="11.85546875" style="1171" customWidth="1"/>
    <col min="8" max="8" width="10.28515625" style="1171" customWidth="1"/>
    <col min="9" max="9" width="7.42578125" style="1171" customWidth="1"/>
    <col min="10" max="10" width="10.85546875" style="1171" customWidth="1"/>
    <col min="11" max="11" width="5.140625" style="1171" customWidth="1"/>
    <col min="12" max="12" width="4.85546875" style="1171" customWidth="1"/>
    <col min="13" max="13" width="4.28515625" style="1171" customWidth="1"/>
    <col min="14" max="14" width="5.42578125" style="1171" customWidth="1"/>
    <col min="15" max="15" width="6.140625" style="1171" customWidth="1"/>
    <col min="16" max="16" width="7.7109375" style="1171" bestFit="1" customWidth="1"/>
    <col min="17" max="17" width="8.140625" style="1171" bestFit="1" customWidth="1"/>
    <col min="18" max="18" width="5.7109375" style="1171" bestFit="1" customWidth="1"/>
    <col min="19" max="19" width="7.85546875" style="1171" customWidth="1"/>
    <col min="20" max="20" width="10" style="1171" customWidth="1"/>
    <col min="21" max="16384" width="9.140625" style="1171"/>
  </cols>
  <sheetData>
    <row r="1" spans="2:27" ht="15">
      <c r="B1" s="1170" t="str">
        <f>+'ANEXA 1'!A1</f>
        <v>CASA  DE  ASIGURĂRI  DE  SĂNĂTATE MEHEDINTI</v>
      </c>
    </row>
    <row r="2" spans="2:27">
      <c r="S2" s="1171" t="s">
        <v>2014</v>
      </c>
    </row>
    <row r="3" spans="2:27" s="1173" customFormat="1" ht="26.25" customHeight="1">
      <c r="B3" s="4047" t="s">
        <v>2015</v>
      </c>
      <c r="C3" s="4047"/>
      <c r="D3" s="4047"/>
      <c r="E3" s="4047"/>
      <c r="F3" s="4047"/>
      <c r="G3" s="4047"/>
      <c r="H3" s="4047"/>
      <c r="I3" s="4047"/>
      <c r="J3" s="4047"/>
      <c r="K3" s="4047"/>
      <c r="L3" s="4047"/>
      <c r="M3" s="4047"/>
      <c r="N3" s="4047"/>
      <c r="O3" s="4047"/>
      <c r="P3" s="4047"/>
      <c r="Q3" s="4047"/>
      <c r="R3" s="1172"/>
      <c r="S3" s="1172"/>
      <c r="T3" s="1172"/>
    </row>
    <row r="4" spans="2:27" ht="12.75" customHeight="1"/>
    <row r="5" spans="2:27" ht="10.5" customHeight="1" thickBot="1">
      <c r="B5" s="1174" t="s">
        <v>2016</v>
      </c>
      <c r="C5" s="1175"/>
      <c r="D5" s="1175"/>
      <c r="E5" s="1175"/>
      <c r="F5" s="1175"/>
      <c r="G5" s="1175"/>
      <c r="H5" s="1175"/>
      <c r="I5" s="1175"/>
      <c r="J5" s="1175"/>
      <c r="K5" s="1175"/>
      <c r="L5" s="1175"/>
      <c r="M5" s="1175"/>
      <c r="N5" s="1175"/>
      <c r="O5" s="1175"/>
      <c r="P5" s="1175"/>
      <c r="Q5" s="1175"/>
      <c r="R5" s="1175"/>
      <c r="S5" s="1175"/>
      <c r="T5" s="1176" t="s">
        <v>271</v>
      </c>
    </row>
    <row r="6" spans="2:27" ht="15" customHeight="1">
      <c r="B6" s="4048" t="s">
        <v>328</v>
      </c>
      <c r="C6" s="4050" t="s">
        <v>230</v>
      </c>
      <c r="D6" s="4050" t="s">
        <v>2017</v>
      </c>
      <c r="E6" s="4052" t="s">
        <v>2018</v>
      </c>
      <c r="F6" s="4050" t="s">
        <v>1892</v>
      </c>
      <c r="G6" s="4052" t="s">
        <v>2019</v>
      </c>
      <c r="H6" s="4052" t="s">
        <v>1895</v>
      </c>
      <c r="I6" s="1177"/>
      <c r="J6" s="1178"/>
      <c r="K6" s="4054" t="s">
        <v>1896</v>
      </c>
      <c r="L6" s="4054"/>
      <c r="M6" s="4054"/>
      <c r="N6" s="4054"/>
      <c r="O6" s="4054"/>
      <c r="P6" s="4054"/>
      <c r="Q6" s="4054"/>
      <c r="R6" s="1179"/>
      <c r="S6" s="4057" t="s">
        <v>1906</v>
      </c>
      <c r="T6" s="4059" t="s">
        <v>1306</v>
      </c>
    </row>
    <row r="7" spans="2:27" ht="125.25" customHeight="1">
      <c r="B7" s="4049"/>
      <c r="C7" s="4051"/>
      <c r="D7" s="4051"/>
      <c r="E7" s="4053"/>
      <c r="F7" s="4051"/>
      <c r="G7" s="4053"/>
      <c r="H7" s="4053"/>
      <c r="I7" s="1180" t="s">
        <v>2020</v>
      </c>
      <c r="J7" s="1180" t="s">
        <v>2021</v>
      </c>
      <c r="K7" s="1181" t="s">
        <v>2022</v>
      </c>
      <c r="L7" s="1181" t="s">
        <v>1899</v>
      </c>
      <c r="M7" s="1181" t="s">
        <v>1900</v>
      </c>
      <c r="N7" s="1181" t="s">
        <v>1901</v>
      </c>
      <c r="O7" s="1181" t="s">
        <v>1902</v>
      </c>
      <c r="P7" s="1182" t="s">
        <v>2023</v>
      </c>
      <c r="Q7" s="1181" t="s">
        <v>2024</v>
      </c>
      <c r="R7" s="1180" t="s">
        <v>2025</v>
      </c>
      <c r="S7" s="4058"/>
      <c r="T7" s="4060"/>
      <c r="V7" s="1183"/>
    </row>
    <row r="8" spans="2:27" s="2573" customFormat="1" ht="22.5">
      <c r="B8" s="2867" t="s">
        <v>92</v>
      </c>
      <c r="C8" s="2868" t="s">
        <v>93</v>
      </c>
      <c r="D8" s="2868">
        <v>1</v>
      </c>
      <c r="E8" s="2868">
        <v>2</v>
      </c>
      <c r="F8" s="2868">
        <v>3</v>
      </c>
      <c r="G8" s="2868">
        <v>4</v>
      </c>
      <c r="H8" s="2869" t="s">
        <v>2026</v>
      </c>
      <c r="I8" s="2869">
        <v>6</v>
      </c>
      <c r="J8" s="2869">
        <v>7</v>
      </c>
      <c r="K8" s="2869">
        <v>8</v>
      </c>
      <c r="L8" s="2869">
        <v>9</v>
      </c>
      <c r="M8" s="2869">
        <v>10</v>
      </c>
      <c r="N8" s="2870">
        <v>11</v>
      </c>
      <c r="O8" s="2869">
        <v>12</v>
      </c>
      <c r="P8" s="2870">
        <v>13</v>
      </c>
      <c r="Q8" s="2869">
        <v>14</v>
      </c>
      <c r="R8" s="2869">
        <v>15</v>
      </c>
      <c r="S8" s="2869">
        <v>16</v>
      </c>
      <c r="T8" s="2871" t="s">
        <v>2027</v>
      </c>
    </row>
    <row r="9" spans="2:27" ht="38.25" customHeight="1">
      <c r="B9" s="2872" t="s">
        <v>1909</v>
      </c>
      <c r="C9" s="2873" t="s">
        <v>96</v>
      </c>
      <c r="D9" s="2874"/>
      <c r="E9" s="2873"/>
      <c r="F9" s="2873"/>
      <c r="G9" s="2873"/>
      <c r="H9" s="2875">
        <f>+I9+J9+K9+L9+M9+N9+O9+P9+Q9+R9</f>
        <v>0</v>
      </c>
      <c r="I9" s="2873"/>
      <c r="J9" s="2873"/>
      <c r="K9" s="2876"/>
      <c r="L9" s="2876"/>
      <c r="M9" s="2876"/>
      <c r="N9" s="2876"/>
      <c r="O9" s="2876"/>
      <c r="P9" s="2876"/>
      <c r="Q9" s="2876"/>
      <c r="R9" s="2876"/>
      <c r="S9" s="2876"/>
      <c r="T9" s="2877"/>
      <c r="U9" s="1184"/>
      <c r="V9" s="1184"/>
      <c r="W9" s="1184"/>
      <c r="X9" s="1184"/>
      <c r="Y9" s="1184"/>
      <c r="Z9" s="1184"/>
      <c r="AA9" s="1184"/>
    </row>
    <row r="10" spans="2:27" ht="25.5" customHeight="1">
      <c r="B10" s="2878" t="s">
        <v>1910</v>
      </c>
      <c r="C10" s="2860" t="s">
        <v>98</v>
      </c>
      <c r="D10" s="2861"/>
      <c r="E10" s="2860"/>
      <c r="F10" s="2860"/>
      <c r="G10" s="2860"/>
      <c r="H10" s="2860"/>
      <c r="I10" s="2860"/>
      <c r="J10" s="2860"/>
      <c r="K10" s="2862"/>
      <c r="L10" s="2862"/>
      <c r="M10" s="2862"/>
      <c r="N10" s="2862"/>
      <c r="O10" s="2862"/>
      <c r="P10" s="2862"/>
      <c r="Q10" s="2862"/>
      <c r="R10" s="2862"/>
      <c r="S10" s="2862"/>
      <c r="T10" s="2879"/>
      <c r="U10" s="1184"/>
      <c r="V10" s="1184"/>
      <c r="W10" s="1184"/>
      <c r="X10" s="1184"/>
      <c r="Y10" s="1184"/>
      <c r="Z10" s="1184"/>
      <c r="AA10" s="1184"/>
    </row>
    <row r="11" spans="2:27" ht="27.75" customHeight="1">
      <c r="B11" s="2878" t="s">
        <v>1911</v>
      </c>
      <c r="C11" s="2860" t="s">
        <v>100</v>
      </c>
      <c r="D11" s="2861"/>
      <c r="E11" s="2860"/>
      <c r="F11" s="2860"/>
      <c r="G11" s="2860"/>
      <c r="H11" s="2860"/>
      <c r="I11" s="2860"/>
      <c r="J11" s="2860"/>
      <c r="K11" s="2862"/>
      <c r="L11" s="2862"/>
      <c r="M11" s="2862"/>
      <c r="N11" s="2862"/>
      <c r="O11" s="2862"/>
      <c r="P11" s="2862"/>
      <c r="Q11" s="2862"/>
      <c r="R11" s="2862"/>
      <c r="S11" s="2862"/>
      <c r="T11" s="2879"/>
      <c r="U11" s="1184"/>
      <c r="V11" s="1184"/>
      <c r="W11" s="1184"/>
      <c r="X11" s="1184"/>
      <c r="Y11" s="1184"/>
      <c r="Z11" s="1184"/>
      <c r="AA11" s="1184"/>
    </row>
    <row r="12" spans="2:27" ht="37.5" customHeight="1">
      <c r="B12" s="2878" t="s">
        <v>1912</v>
      </c>
      <c r="C12" s="2860" t="s">
        <v>102</v>
      </c>
      <c r="D12" s="2861"/>
      <c r="E12" s="2860"/>
      <c r="F12" s="2860"/>
      <c r="G12" s="2860"/>
      <c r="H12" s="2860"/>
      <c r="I12" s="2860"/>
      <c r="J12" s="2860"/>
      <c r="K12" s="2862"/>
      <c r="L12" s="2862"/>
      <c r="M12" s="2862"/>
      <c r="N12" s="2862"/>
      <c r="O12" s="2862"/>
      <c r="P12" s="2862"/>
      <c r="Q12" s="2862"/>
      <c r="R12" s="2862"/>
      <c r="S12" s="2862"/>
      <c r="T12" s="2879"/>
      <c r="U12" s="1184"/>
      <c r="V12" s="1184"/>
      <c r="W12" s="1184"/>
      <c r="X12" s="1184"/>
      <c r="Y12" s="1184"/>
      <c r="Z12" s="1184"/>
      <c r="AA12" s="1184"/>
    </row>
    <row r="13" spans="2:27" ht="30.75" customHeight="1">
      <c r="B13" s="2878" t="s">
        <v>1913</v>
      </c>
      <c r="C13" s="2860" t="s">
        <v>104</v>
      </c>
      <c r="D13" s="2861"/>
      <c r="E13" s="2860"/>
      <c r="F13" s="2860"/>
      <c r="G13" s="2860"/>
      <c r="H13" s="2860"/>
      <c r="I13" s="2860"/>
      <c r="J13" s="2860"/>
      <c r="K13" s="2862"/>
      <c r="L13" s="2862"/>
      <c r="M13" s="2862"/>
      <c r="N13" s="2862"/>
      <c r="O13" s="2862"/>
      <c r="P13" s="2862"/>
      <c r="Q13" s="2862"/>
      <c r="R13" s="2862"/>
      <c r="S13" s="2862"/>
      <c r="T13" s="2879"/>
      <c r="U13" s="1184"/>
      <c r="V13" s="1184"/>
      <c r="W13" s="1184"/>
      <c r="X13" s="1184"/>
      <c r="Y13" s="1184"/>
      <c r="Z13" s="1184"/>
      <c r="AA13" s="1184"/>
    </row>
    <row r="14" spans="2:27" ht="45.6" customHeight="1">
      <c r="B14" s="2878" t="s">
        <v>1914</v>
      </c>
      <c r="C14" s="2860" t="s">
        <v>107</v>
      </c>
      <c r="D14" s="2861"/>
      <c r="E14" s="2860"/>
      <c r="F14" s="2860"/>
      <c r="G14" s="2860"/>
      <c r="H14" s="2860"/>
      <c r="I14" s="2860"/>
      <c r="J14" s="2860"/>
      <c r="K14" s="2862"/>
      <c r="L14" s="2862"/>
      <c r="M14" s="2862"/>
      <c r="N14" s="2862"/>
      <c r="O14" s="2862"/>
      <c r="P14" s="2862"/>
      <c r="Q14" s="2862"/>
      <c r="R14" s="2862"/>
      <c r="S14" s="2862"/>
      <c r="T14" s="2879"/>
      <c r="U14" s="1185"/>
      <c r="V14" s="1184"/>
      <c r="W14" s="1184"/>
      <c r="X14" s="1184"/>
      <c r="Y14" s="1184"/>
      <c r="Z14" s="1184"/>
      <c r="AA14" s="1184"/>
    </row>
    <row r="15" spans="2:27" ht="29.25" customHeight="1">
      <c r="B15" s="2878" t="s">
        <v>1915</v>
      </c>
      <c r="C15" s="2860" t="s">
        <v>110</v>
      </c>
      <c r="D15" s="2861"/>
      <c r="E15" s="2860"/>
      <c r="F15" s="2860"/>
      <c r="G15" s="2860"/>
      <c r="H15" s="2860"/>
      <c r="I15" s="2860"/>
      <c r="J15" s="2860"/>
      <c r="K15" s="2862"/>
      <c r="L15" s="2862"/>
      <c r="M15" s="2862"/>
      <c r="N15" s="2862"/>
      <c r="O15" s="2862"/>
      <c r="P15" s="2862"/>
      <c r="Q15" s="2862"/>
      <c r="R15" s="2862"/>
      <c r="S15" s="2862"/>
      <c r="T15" s="2879"/>
      <c r="U15" s="1185"/>
      <c r="V15" s="1184"/>
      <c r="W15" s="1184"/>
      <c r="X15" s="1184"/>
      <c r="Y15" s="1184"/>
      <c r="Z15" s="1184"/>
      <c r="AA15" s="1184"/>
    </row>
    <row r="16" spans="2:27" ht="27" customHeight="1">
      <c r="B16" s="2878" t="s">
        <v>1916</v>
      </c>
      <c r="C16" s="2860" t="s">
        <v>112</v>
      </c>
      <c r="D16" s="2861"/>
      <c r="E16" s="2860"/>
      <c r="F16" s="2860"/>
      <c r="G16" s="2860"/>
      <c r="H16" s="2860"/>
      <c r="I16" s="2860"/>
      <c r="J16" s="2860"/>
      <c r="K16" s="2862"/>
      <c r="L16" s="2862"/>
      <c r="M16" s="2862"/>
      <c r="N16" s="2862"/>
      <c r="O16" s="2862"/>
      <c r="P16" s="2862"/>
      <c r="Q16" s="2862"/>
      <c r="R16" s="2862"/>
      <c r="S16" s="2862"/>
      <c r="T16" s="2879"/>
      <c r="U16" s="1184"/>
      <c r="V16" s="1184"/>
      <c r="W16" s="1184"/>
      <c r="X16" s="1184"/>
      <c r="Y16" s="1184"/>
      <c r="Z16" s="1184"/>
      <c r="AA16" s="1184"/>
    </row>
    <row r="17" spans="1:27" ht="27.75" customHeight="1">
      <c r="B17" s="2878" t="s">
        <v>1917</v>
      </c>
      <c r="C17" s="2860" t="s">
        <v>114</v>
      </c>
      <c r="D17" s="2861"/>
      <c r="E17" s="2860"/>
      <c r="F17" s="2860"/>
      <c r="G17" s="2860"/>
      <c r="H17" s="2860"/>
      <c r="I17" s="2860"/>
      <c r="J17" s="2860"/>
      <c r="K17" s="2862"/>
      <c r="L17" s="2862"/>
      <c r="M17" s="2862"/>
      <c r="N17" s="2862"/>
      <c r="O17" s="2862"/>
      <c r="P17" s="2862"/>
      <c r="Q17" s="2862"/>
      <c r="R17" s="2862"/>
      <c r="S17" s="2862"/>
      <c r="T17" s="2879"/>
      <c r="U17" s="1184"/>
      <c r="V17" s="1184"/>
      <c r="W17" s="1184"/>
      <c r="X17" s="1184"/>
      <c r="Y17" s="1184"/>
      <c r="Z17" s="1184"/>
      <c r="AA17" s="1184"/>
    </row>
    <row r="18" spans="1:27" ht="24.75" customHeight="1">
      <c r="A18" s="1186"/>
      <c r="B18" s="2878" t="s">
        <v>1918</v>
      </c>
      <c r="C18" s="2860">
        <v>10</v>
      </c>
      <c r="D18" s="2861"/>
      <c r="E18" s="2860"/>
      <c r="F18" s="2860"/>
      <c r="G18" s="2860"/>
      <c r="H18" s="2860"/>
      <c r="I18" s="2860"/>
      <c r="J18" s="2860"/>
      <c r="K18" s="2862"/>
      <c r="L18" s="2862"/>
      <c r="M18" s="2862"/>
      <c r="N18" s="2862"/>
      <c r="O18" s="2862"/>
      <c r="P18" s="2862"/>
      <c r="Q18" s="2862"/>
      <c r="R18" s="2862"/>
      <c r="S18" s="2862"/>
      <c r="T18" s="2879"/>
      <c r="U18" s="1184"/>
      <c r="V18" s="1184"/>
      <c r="W18" s="1184"/>
      <c r="X18" s="1184"/>
      <c r="Y18" s="1184"/>
      <c r="Z18" s="1184"/>
      <c r="AA18" s="1184"/>
    </row>
    <row r="19" spans="1:27" ht="24">
      <c r="B19" s="2878" t="s">
        <v>1919</v>
      </c>
      <c r="C19" s="2860">
        <v>11</v>
      </c>
      <c r="D19" s="2861"/>
      <c r="E19" s="2860"/>
      <c r="F19" s="2860"/>
      <c r="G19" s="2860"/>
      <c r="H19" s="2860"/>
      <c r="I19" s="2860"/>
      <c r="J19" s="2860"/>
      <c r="K19" s="2862"/>
      <c r="L19" s="2862"/>
      <c r="M19" s="2862"/>
      <c r="N19" s="2862"/>
      <c r="O19" s="2862"/>
      <c r="P19" s="2862"/>
      <c r="Q19" s="2862"/>
      <c r="R19" s="2862"/>
      <c r="S19" s="2862"/>
      <c r="T19" s="2879"/>
      <c r="U19" s="1184"/>
      <c r="V19" s="1184"/>
      <c r="W19" s="1184"/>
      <c r="X19" s="1184"/>
      <c r="Y19" s="1184"/>
      <c r="Z19" s="1184"/>
      <c r="AA19" s="1184"/>
    </row>
    <row r="20" spans="1:27" ht="24">
      <c r="B20" s="2878" t="s">
        <v>1920</v>
      </c>
      <c r="C20" s="2860">
        <v>12</v>
      </c>
      <c r="D20" s="2861"/>
      <c r="E20" s="2860"/>
      <c r="F20" s="2860"/>
      <c r="G20" s="2860"/>
      <c r="H20" s="2860"/>
      <c r="I20" s="2860"/>
      <c r="J20" s="2860"/>
      <c r="K20" s="2862"/>
      <c r="L20" s="2862"/>
      <c r="M20" s="2862"/>
      <c r="N20" s="2862"/>
      <c r="O20" s="2862"/>
      <c r="P20" s="2862"/>
      <c r="Q20" s="2862"/>
      <c r="R20" s="2862"/>
      <c r="S20" s="2862"/>
      <c r="T20" s="2879"/>
      <c r="U20" s="1184"/>
      <c r="V20" s="1184"/>
      <c r="W20" s="1184"/>
      <c r="X20" s="1184"/>
      <c r="Y20" s="1184"/>
      <c r="Z20" s="1184"/>
      <c r="AA20" s="1184"/>
    </row>
    <row r="21" spans="1:27" ht="24">
      <c r="B21" s="2880" t="s">
        <v>1921</v>
      </c>
      <c r="C21" s="2860">
        <v>13</v>
      </c>
      <c r="D21" s="2863"/>
      <c r="E21" s="2860"/>
      <c r="F21" s="2860"/>
      <c r="G21" s="2860"/>
      <c r="H21" s="2860"/>
      <c r="I21" s="2860"/>
      <c r="J21" s="2860"/>
      <c r="K21" s="2862"/>
      <c r="L21" s="2862"/>
      <c r="M21" s="2862"/>
      <c r="N21" s="2862"/>
      <c r="O21" s="2862"/>
      <c r="P21" s="2862"/>
      <c r="Q21" s="2862"/>
      <c r="R21" s="2862"/>
      <c r="S21" s="2862"/>
      <c r="T21" s="2879"/>
      <c r="U21" s="1185"/>
      <c r="V21" s="1184"/>
      <c r="W21" s="1184"/>
      <c r="X21" s="1184"/>
      <c r="Y21" s="1184"/>
      <c r="Z21" s="1184"/>
      <c r="AA21" s="1184"/>
    </row>
    <row r="22" spans="1:27" ht="27" customHeight="1">
      <c r="B22" s="2880" t="s">
        <v>1922</v>
      </c>
      <c r="C22" s="2860">
        <v>14</v>
      </c>
      <c r="D22" s="2863"/>
      <c r="E22" s="2860"/>
      <c r="F22" s="2860"/>
      <c r="G22" s="2860"/>
      <c r="H22" s="2860"/>
      <c r="I22" s="2860"/>
      <c r="J22" s="2860"/>
      <c r="K22" s="2862"/>
      <c r="L22" s="2862"/>
      <c r="M22" s="2862"/>
      <c r="N22" s="2862"/>
      <c r="O22" s="2862"/>
      <c r="P22" s="2862"/>
      <c r="Q22" s="2862"/>
      <c r="R22" s="2862"/>
      <c r="S22" s="2862"/>
      <c r="T22" s="2879"/>
      <c r="U22" s="1184"/>
      <c r="V22" s="1184"/>
      <c r="W22" s="1184"/>
      <c r="X22" s="1184"/>
      <c r="Y22" s="1184"/>
      <c r="Z22" s="1184"/>
      <c r="AA22" s="1184"/>
    </row>
    <row r="23" spans="1:27" ht="31.5" customHeight="1">
      <c r="B23" s="2881" t="s">
        <v>1923</v>
      </c>
      <c r="C23" s="2882">
        <v>15</v>
      </c>
      <c r="D23" s="2883"/>
      <c r="E23" s="2882"/>
      <c r="F23" s="2882"/>
      <c r="G23" s="2882"/>
      <c r="H23" s="2882"/>
      <c r="I23" s="2882"/>
      <c r="J23" s="2882"/>
      <c r="K23" s="2884"/>
      <c r="L23" s="2884"/>
      <c r="M23" s="2884"/>
      <c r="N23" s="2884"/>
      <c r="O23" s="2884"/>
      <c r="P23" s="2884"/>
      <c r="Q23" s="2884"/>
      <c r="R23" s="2884"/>
      <c r="S23" s="2884"/>
      <c r="T23" s="2885"/>
      <c r="U23" s="1184"/>
      <c r="V23" s="1184"/>
      <c r="W23" s="1184"/>
      <c r="X23" s="1184"/>
      <c r="Y23" s="1184"/>
      <c r="Z23" s="1184"/>
      <c r="AA23" s="1184"/>
    </row>
    <row r="24" spans="1:27" ht="27.75" customHeight="1">
      <c r="B24" s="2886" t="s">
        <v>1924</v>
      </c>
      <c r="C24" s="2873">
        <v>16</v>
      </c>
      <c r="D24" s="2887"/>
      <c r="E24" s="2873"/>
      <c r="F24" s="2873"/>
      <c r="G24" s="2873"/>
      <c r="H24" s="2873"/>
      <c r="I24" s="2873"/>
      <c r="J24" s="2873"/>
      <c r="K24" s="2876"/>
      <c r="L24" s="2876"/>
      <c r="M24" s="2876"/>
      <c r="N24" s="2876"/>
      <c r="O24" s="2876"/>
      <c r="P24" s="2876"/>
      <c r="Q24" s="2876"/>
      <c r="R24" s="2876"/>
      <c r="S24" s="2876"/>
      <c r="T24" s="2877"/>
      <c r="U24" s="1184"/>
      <c r="V24" s="1184"/>
      <c r="W24" s="1184"/>
      <c r="X24" s="1184"/>
      <c r="Y24" s="1184"/>
      <c r="Z24" s="1184"/>
      <c r="AA24" s="1184"/>
    </row>
    <row r="25" spans="1:27" ht="22.5" customHeight="1">
      <c r="B25" s="2878" t="s">
        <v>1925</v>
      </c>
      <c r="C25" s="2860">
        <v>17</v>
      </c>
      <c r="D25" s="2861"/>
      <c r="E25" s="2860"/>
      <c r="F25" s="2860"/>
      <c r="G25" s="2860"/>
      <c r="H25" s="2860"/>
      <c r="I25" s="2860"/>
      <c r="J25" s="2860"/>
      <c r="K25" s="2862"/>
      <c r="L25" s="2862"/>
      <c r="M25" s="2862"/>
      <c r="N25" s="2862"/>
      <c r="O25" s="2862"/>
      <c r="P25" s="2862"/>
      <c r="Q25" s="2862"/>
      <c r="R25" s="2862"/>
      <c r="S25" s="2862"/>
      <c r="T25" s="2879"/>
      <c r="U25" s="1184"/>
      <c r="V25" s="1184"/>
      <c r="W25" s="1184"/>
      <c r="X25" s="1184"/>
      <c r="Y25" s="1184"/>
      <c r="Z25" s="1184"/>
      <c r="AA25" s="1184"/>
    </row>
    <row r="26" spans="1:27" ht="18" customHeight="1">
      <c r="B26" s="2878" t="s">
        <v>1926</v>
      </c>
      <c r="C26" s="2860">
        <v>18</v>
      </c>
      <c r="D26" s="2861"/>
      <c r="E26" s="2860"/>
      <c r="F26" s="2860"/>
      <c r="G26" s="2860"/>
      <c r="H26" s="2860"/>
      <c r="I26" s="2860"/>
      <c r="J26" s="2860"/>
      <c r="K26" s="2862"/>
      <c r="L26" s="2862"/>
      <c r="M26" s="2862"/>
      <c r="N26" s="2862"/>
      <c r="O26" s="2862"/>
      <c r="P26" s="2862"/>
      <c r="Q26" s="2862"/>
      <c r="R26" s="2862"/>
      <c r="S26" s="2862"/>
      <c r="T26" s="2879"/>
      <c r="U26" s="1184"/>
      <c r="V26" s="1184"/>
      <c r="W26" s="1184"/>
      <c r="X26" s="1184"/>
      <c r="Y26" s="1184"/>
      <c r="Z26" s="1184"/>
      <c r="AA26" s="1184"/>
    </row>
    <row r="27" spans="1:27" ht="38.25" customHeight="1">
      <c r="B27" s="2878" t="s">
        <v>1927</v>
      </c>
      <c r="C27" s="2860">
        <v>19</v>
      </c>
      <c r="D27" s="2861"/>
      <c r="E27" s="2860"/>
      <c r="F27" s="2860"/>
      <c r="G27" s="2860"/>
      <c r="H27" s="2860"/>
      <c r="I27" s="2860"/>
      <c r="J27" s="2860"/>
      <c r="K27" s="2862"/>
      <c r="L27" s="2862"/>
      <c r="M27" s="2862"/>
      <c r="N27" s="2862"/>
      <c r="O27" s="2862"/>
      <c r="P27" s="2862"/>
      <c r="Q27" s="2862"/>
      <c r="R27" s="2862"/>
      <c r="S27" s="2862"/>
      <c r="T27" s="2879"/>
      <c r="U27" s="1184"/>
      <c r="V27" s="1184"/>
      <c r="W27" s="1184"/>
      <c r="X27" s="1184"/>
      <c r="Y27" s="1184"/>
      <c r="Z27" s="1184"/>
      <c r="AA27" s="1184"/>
    </row>
    <row r="28" spans="1:27" ht="48">
      <c r="B28" s="2878" t="s">
        <v>1928</v>
      </c>
      <c r="C28" s="2860">
        <v>20</v>
      </c>
      <c r="D28" s="2861"/>
      <c r="E28" s="2860"/>
      <c r="F28" s="2860"/>
      <c r="G28" s="2860"/>
      <c r="H28" s="2860"/>
      <c r="I28" s="2860"/>
      <c r="J28" s="2860"/>
      <c r="K28" s="2862"/>
      <c r="L28" s="2862"/>
      <c r="M28" s="2862"/>
      <c r="N28" s="2862"/>
      <c r="O28" s="2862"/>
      <c r="P28" s="2862"/>
      <c r="Q28" s="2862"/>
      <c r="R28" s="2862"/>
      <c r="S28" s="2862"/>
      <c r="T28" s="2879"/>
      <c r="U28" s="1184"/>
      <c r="V28" s="1184"/>
      <c r="W28" s="1184"/>
      <c r="X28" s="1184"/>
      <c r="Y28" s="1184"/>
      <c r="Z28" s="1184"/>
      <c r="AA28" s="1184"/>
    </row>
    <row r="29" spans="1:27" ht="48">
      <c r="B29" s="2878" t="s">
        <v>1929</v>
      </c>
      <c r="C29" s="2860">
        <v>21</v>
      </c>
      <c r="D29" s="2861"/>
      <c r="E29" s="2860"/>
      <c r="F29" s="2860"/>
      <c r="G29" s="2860"/>
      <c r="H29" s="2860"/>
      <c r="I29" s="2860"/>
      <c r="J29" s="2860"/>
      <c r="K29" s="2862"/>
      <c r="L29" s="2862"/>
      <c r="M29" s="2862"/>
      <c r="N29" s="2862"/>
      <c r="O29" s="2862"/>
      <c r="P29" s="2862"/>
      <c r="Q29" s="2862"/>
      <c r="R29" s="2862"/>
      <c r="S29" s="2862"/>
      <c r="T29" s="2879"/>
      <c r="U29" s="1184"/>
      <c r="V29" s="1184"/>
      <c r="W29" s="1184"/>
      <c r="X29" s="1184"/>
      <c r="Y29" s="1184"/>
      <c r="Z29" s="1184"/>
      <c r="AA29" s="1184"/>
    </row>
    <row r="30" spans="1:27" ht="24">
      <c r="B30" s="2878" t="s">
        <v>1930</v>
      </c>
      <c r="C30" s="2860" t="s">
        <v>120</v>
      </c>
      <c r="D30" s="2861"/>
      <c r="E30" s="2860"/>
      <c r="F30" s="2860"/>
      <c r="G30" s="2860"/>
      <c r="H30" s="2860"/>
      <c r="I30" s="2860"/>
      <c r="J30" s="2860"/>
      <c r="K30" s="2862"/>
      <c r="L30" s="2862"/>
      <c r="M30" s="2862"/>
      <c r="N30" s="2862"/>
      <c r="O30" s="2862"/>
      <c r="P30" s="2862"/>
      <c r="Q30" s="2862"/>
      <c r="R30" s="2862"/>
      <c r="S30" s="2862"/>
      <c r="T30" s="2879"/>
      <c r="U30" s="1184"/>
      <c r="V30" s="1184"/>
      <c r="W30" s="1184"/>
      <c r="X30" s="1184"/>
      <c r="Y30" s="1184"/>
      <c r="Z30" s="1184"/>
      <c r="AA30" s="1184"/>
    </row>
    <row r="31" spans="1:27" ht="24">
      <c r="B31" s="2878" t="s">
        <v>1931</v>
      </c>
      <c r="C31" s="2860" t="s">
        <v>371</v>
      </c>
      <c r="D31" s="2861"/>
      <c r="E31" s="2860"/>
      <c r="F31" s="2860"/>
      <c r="G31" s="2860"/>
      <c r="H31" s="2860"/>
      <c r="I31" s="2860"/>
      <c r="J31" s="2860"/>
      <c r="K31" s="2862"/>
      <c r="L31" s="2862"/>
      <c r="M31" s="2862"/>
      <c r="N31" s="2862"/>
      <c r="O31" s="2862"/>
      <c r="P31" s="2862"/>
      <c r="Q31" s="2862"/>
      <c r="R31" s="2862"/>
      <c r="S31" s="2862"/>
      <c r="T31" s="2879"/>
      <c r="U31" s="1184"/>
      <c r="V31" s="1184"/>
      <c r="W31" s="1184"/>
      <c r="X31" s="1184"/>
      <c r="Y31" s="1184"/>
      <c r="Z31" s="1184"/>
      <c r="AA31" s="1184"/>
    </row>
    <row r="32" spans="1:27" ht="27" customHeight="1">
      <c r="B32" s="2878" t="s">
        <v>1932</v>
      </c>
      <c r="C32" s="2860" t="s">
        <v>372</v>
      </c>
      <c r="D32" s="2861"/>
      <c r="E32" s="2860"/>
      <c r="F32" s="2860"/>
      <c r="G32" s="2860"/>
      <c r="H32" s="2860"/>
      <c r="I32" s="2860"/>
      <c r="J32" s="2860"/>
      <c r="K32" s="2862"/>
      <c r="L32" s="2862"/>
      <c r="M32" s="2862"/>
      <c r="N32" s="2862"/>
      <c r="O32" s="2862"/>
      <c r="P32" s="2862"/>
      <c r="Q32" s="2862"/>
      <c r="R32" s="2862"/>
      <c r="S32" s="2862"/>
      <c r="T32" s="2879"/>
      <c r="U32" s="1184"/>
      <c r="V32" s="1184"/>
      <c r="W32" s="1184"/>
      <c r="X32" s="1184"/>
      <c r="Y32" s="1184"/>
      <c r="Z32" s="1184"/>
      <c r="AA32" s="1184"/>
    </row>
    <row r="33" spans="2:27" ht="24">
      <c r="B33" s="2878" t="s">
        <v>1933</v>
      </c>
      <c r="C33" s="2860" t="s">
        <v>373</v>
      </c>
      <c r="D33" s="2861"/>
      <c r="E33" s="2860"/>
      <c r="F33" s="2860"/>
      <c r="G33" s="2860"/>
      <c r="H33" s="2860"/>
      <c r="I33" s="2860"/>
      <c r="J33" s="2860"/>
      <c r="K33" s="2862"/>
      <c r="L33" s="2862"/>
      <c r="M33" s="2862"/>
      <c r="N33" s="2862"/>
      <c r="O33" s="2862"/>
      <c r="P33" s="2862"/>
      <c r="Q33" s="2862"/>
      <c r="R33" s="2862"/>
      <c r="S33" s="2862"/>
      <c r="T33" s="2879"/>
      <c r="U33" s="1184"/>
      <c r="V33" s="1184"/>
      <c r="W33" s="1184"/>
      <c r="X33" s="1184"/>
      <c r="Y33" s="1184"/>
      <c r="Z33" s="1184"/>
      <c r="AA33" s="1184"/>
    </row>
    <row r="34" spans="2:27" ht="36">
      <c r="B34" s="2878" t="s">
        <v>1934</v>
      </c>
      <c r="C34" s="2860" t="s">
        <v>374</v>
      </c>
      <c r="D34" s="2861"/>
      <c r="E34" s="2860"/>
      <c r="F34" s="2860"/>
      <c r="G34" s="2860"/>
      <c r="H34" s="2860"/>
      <c r="I34" s="2860"/>
      <c r="J34" s="2860"/>
      <c r="K34" s="2862"/>
      <c r="L34" s="2862"/>
      <c r="M34" s="2862"/>
      <c r="N34" s="2862"/>
      <c r="O34" s="2862"/>
      <c r="P34" s="2862"/>
      <c r="Q34" s="2862"/>
      <c r="R34" s="2862"/>
      <c r="S34" s="2862"/>
      <c r="T34" s="2879"/>
      <c r="U34" s="1184"/>
      <c r="V34" s="1184"/>
      <c r="W34" s="1184"/>
      <c r="X34" s="1184"/>
      <c r="Y34" s="1184"/>
      <c r="Z34" s="1184"/>
      <c r="AA34" s="1184"/>
    </row>
    <row r="35" spans="2:27" ht="33.75" customHeight="1">
      <c r="B35" s="2878" t="s">
        <v>1935</v>
      </c>
      <c r="C35" s="2860" t="s">
        <v>1936</v>
      </c>
      <c r="D35" s="2861"/>
      <c r="E35" s="2860"/>
      <c r="F35" s="2860"/>
      <c r="G35" s="2860"/>
      <c r="H35" s="2860"/>
      <c r="I35" s="2860"/>
      <c r="J35" s="2860"/>
      <c r="K35" s="2862"/>
      <c r="L35" s="2862"/>
      <c r="M35" s="2862"/>
      <c r="N35" s="2862"/>
      <c r="O35" s="2862"/>
      <c r="P35" s="2862"/>
      <c r="Q35" s="2862"/>
      <c r="R35" s="2862"/>
      <c r="S35" s="2862"/>
      <c r="T35" s="2879"/>
      <c r="U35" s="1184"/>
      <c r="V35" s="1184"/>
      <c r="W35" s="1184"/>
      <c r="X35" s="1184"/>
      <c r="Y35" s="1184"/>
      <c r="Z35" s="1184"/>
      <c r="AA35" s="1184"/>
    </row>
    <row r="36" spans="2:27" ht="24">
      <c r="B36" s="2878" t="s">
        <v>1937</v>
      </c>
      <c r="C36" s="2860" t="s">
        <v>1938</v>
      </c>
      <c r="D36" s="2861"/>
      <c r="E36" s="2860"/>
      <c r="F36" s="2860"/>
      <c r="G36" s="2860"/>
      <c r="H36" s="2860"/>
      <c r="I36" s="2860"/>
      <c r="J36" s="2860"/>
      <c r="K36" s="2862"/>
      <c r="L36" s="2862"/>
      <c r="M36" s="2862"/>
      <c r="N36" s="2862"/>
      <c r="O36" s="2862"/>
      <c r="P36" s="2862"/>
      <c r="Q36" s="2862"/>
      <c r="R36" s="2862"/>
      <c r="S36" s="2862"/>
      <c r="T36" s="2879"/>
      <c r="U36" s="1184"/>
      <c r="V36" s="1184"/>
      <c r="W36" s="1184"/>
      <c r="X36" s="1184"/>
      <c r="Y36" s="1184"/>
      <c r="Z36" s="1184"/>
      <c r="AA36" s="1184"/>
    </row>
    <row r="37" spans="2:27" ht="36">
      <c r="B37" s="2878" t="s">
        <v>1939</v>
      </c>
      <c r="C37" s="2860" t="s">
        <v>1940</v>
      </c>
      <c r="D37" s="2861"/>
      <c r="E37" s="2860"/>
      <c r="F37" s="2860"/>
      <c r="G37" s="2860"/>
      <c r="H37" s="2860"/>
      <c r="I37" s="2860"/>
      <c r="J37" s="2860"/>
      <c r="K37" s="2862"/>
      <c r="L37" s="2862"/>
      <c r="M37" s="2862"/>
      <c r="N37" s="2862"/>
      <c r="O37" s="2862"/>
      <c r="P37" s="2862"/>
      <c r="Q37" s="2862"/>
      <c r="R37" s="2862"/>
      <c r="S37" s="2862"/>
      <c r="T37" s="2879"/>
      <c r="U37" s="1184"/>
      <c r="V37" s="1184"/>
      <c r="W37" s="1184"/>
      <c r="X37" s="1184"/>
      <c r="Y37" s="1184"/>
      <c r="Z37" s="1184"/>
      <c r="AA37" s="1184"/>
    </row>
    <row r="38" spans="2:27" ht="36">
      <c r="B38" s="2878" t="s">
        <v>2028</v>
      </c>
      <c r="C38" s="2860" t="s">
        <v>1942</v>
      </c>
      <c r="D38" s="2861"/>
      <c r="E38" s="2860"/>
      <c r="F38" s="2860"/>
      <c r="G38" s="2860"/>
      <c r="H38" s="2860"/>
      <c r="I38" s="2860"/>
      <c r="J38" s="2860"/>
      <c r="K38" s="2862"/>
      <c r="L38" s="2862"/>
      <c r="M38" s="2862"/>
      <c r="N38" s="2862"/>
      <c r="O38" s="2862"/>
      <c r="P38" s="2862"/>
      <c r="Q38" s="2862"/>
      <c r="R38" s="2862"/>
      <c r="S38" s="2862"/>
      <c r="T38" s="2879"/>
      <c r="U38" s="1184"/>
      <c r="V38" s="1184"/>
      <c r="W38" s="1184"/>
      <c r="X38" s="1184"/>
      <c r="Y38" s="1184"/>
      <c r="Z38" s="1184"/>
      <c r="AA38" s="1184"/>
    </row>
    <row r="39" spans="2:27" ht="38.450000000000003" customHeight="1">
      <c r="B39" s="2878" t="s">
        <v>1943</v>
      </c>
      <c r="C39" s="2860">
        <v>22</v>
      </c>
      <c r="D39" s="2861"/>
      <c r="E39" s="2860"/>
      <c r="F39" s="2860"/>
      <c r="G39" s="2860"/>
      <c r="H39" s="2860"/>
      <c r="I39" s="2860"/>
      <c r="J39" s="2860"/>
      <c r="K39" s="2862"/>
      <c r="L39" s="2862"/>
      <c r="M39" s="2862"/>
      <c r="N39" s="2862"/>
      <c r="O39" s="2862"/>
      <c r="P39" s="2862"/>
      <c r="Q39" s="2862"/>
      <c r="R39" s="2862"/>
      <c r="S39" s="2862"/>
      <c r="T39" s="2879"/>
      <c r="U39" s="1184"/>
      <c r="V39" s="1184"/>
      <c r="W39" s="1184"/>
      <c r="X39" s="1184"/>
      <c r="Y39" s="1184"/>
      <c r="Z39" s="1184"/>
      <c r="AA39" s="1184"/>
    </row>
    <row r="40" spans="2:27" ht="36">
      <c r="B40" s="2881" t="s">
        <v>1944</v>
      </c>
      <c r="C40" s="2888" t="s">
        <v>377</v>
      </c>
      <c r="D40" s="2883"/>
      <c r="E40" s="2882"/>
      <c r="F40" s="2882"/>
      <c r="G40" s="2882"/>
      <c r="H40" s="2882"/>
      <c r="I40" s="2882"/>
      <c r="J40" s="2882"/>
      <c r="K40" s="2884"/>
      <c r="L40" s="2884"/>
      <c r="M40" s="2884"/>
      <c r="N40" s="2884"/>
      <c r="O40" s="2884"/>
      <c r="P40" s="2884"/>
      <c r="Q40" s="2884"/>
      <c r="R40" s="2884"/>
      <c r="S40" s="2884"/>
      <c r="T40" s="2885"/>
      <c r="U40" s="1184"/>
      <c r="V40" s="1184"/>
      <c r="W40" s="1184"/>
      <c r="X40" s="1184"/>
      <c r="Y40" s="1184"/>
      <c r="Z40" s="1184"/>
      <c r="AA40" s="1184"/>
    </row>
    <row r="41" spans="2:27" ht="36">
      <c r="B41" s="2886" t="s">
        <v>1945</v>
      </c>
      <c r="C41" s="2889" t="s">
        <v>379</v>
      </c>
      <c r="D41" s="2887"/>
      <c r="E41" s="2873"/>
      <c r="F41" s="2873"/>
      <c r="G41" s="2873"/>
      <c r="H41" s="2873"/>
      <c r="I41" s="2873"/>
      <c r="J41" s="2873"/>
      <c r="K41" s="2876"/>
      <c r="L41" s="2876"/>
      <c r="M41" s="2876"/>
      <c r="N41" s="2876"/>
      <c r="O41" s="2876"/>
      <c r="P41" s="2876"/>
      <c r="Q41" s="2876"/>
      <c r="R41" s="2876"/>
      <c r="S41" s="2876"/>
      <c r="T41" s="2877"/>
      <c r="U41" s="1184"/>
      <c r="V41" s="1184"/>
      <c r="W41" s="1184"/>
      <c r="X41" s="1184"/>
      <c r="Y41" s="1184"/>
      <c r="Z41" s="1184"/>
      <c r="AA41" s="1184"/>
    </row>
    <row r="42" spans="2:27" ht="48">
      <c r="B42" s="2878" t="s">
        <v>1946</v>
      </c>
      <c r="C42" s="2864" t="s">
        <v>380</v>
      </c>
      <c r="D42" s="2861"/>
      <c r="E42" s="2860"/>
      <c r="F42" s="2860"/>
      <c r="G42" s="2860"/>
      <c r="H42" s="2860"/>
      <c r="I42" s="2860"/>
      <c r="J42" s="2860"/>
      <c r="K42" s="2862"/>
      <c r="L42" s="2862"/>
      <c r="M42" s="2862"/>
      <c r="N42" s="2862"/>
      <c r="O42" s="2862"/>
      <c r="P42" s="2862"/>
      <c r="Q42" s="2862"/>
      <c r="R42" s="2862"/>
      <c r="S42" s="2862"/>
      <c r="T42" s="2879"/>
      <c r="U42" s="1184"/>
      <c r="V42" s="1184"/>
      <c r="W42" s="1184"/>
      <c r="X42" s="1184"/>
      <c r="Y42" s="1184"/>
      <c r="Z42" s="1184"/>
      <c r="AA42" s="1184"/>
    </row>
    <row r="43" spans="2:27" ht="36">
      <c r="B43" s="2878" t="s">
        <v>1947</v>
      </c>
      <c r="C43" s="2864" t="s">
        <v>381</v>
      </c>
      <c r="D43" s="2861"/>
      <c r="E43" s="2860"/>
      <c r="F43" s="2860"/>
      <c r="G43" s="2860"/>
      <c r="H43" s="2860"/>
      <c r="I43" s="2860"/>
      <c r="J43" s="2860"/>
      <c r="K43" s="2862"/>
      <c r="L43" s="2862"/>
      <c r="M43" s="2862"/>
      <c r="N43" s="2862"/>
      <c r="O43" s="2862"/>
      <c r="P43" s="2862"/>
      <c r="Q43" s="2862"/>
      <c r="R43" s="2862"/>
      <c r="S43" s="2862"/>
      <c r="T43" s="2879"/>
      <c r="U43" s="1184"/>
      <c r="V43" s="1184"/>
      <c r="W43" s="1184"/>
      <c r="X43" s="1184"/>
      <c r="Y43" s="1184"/>
      <c r="Z43" s="1184"/>
      <c r="AA43" s="1184"/>
    </row>
    <row r="44" spans="2:27" ht="43.5" customHeight="1">
      <c r="B44" s="2878" t="s">
        <v>1948</v>
      </c>
      <c r="C44" s="2864" t="s">
        <v>383</v>
      </c>
      <c r="D44" s="2861"/>
      <c r="E44" s="2860"/>
      <c r="F44" s="2860"/>
      <c r="G44" s="2860"/>
      <c r="H44" s="2860"/>
      <c r="I44" s="2860"/>
      <c r="J44" s="2860"/>
      <c r="K44" s="2862"/>
      <c r="L44" s="2862"/>
      <c r="M44" s="2862"/>
      <c r="N44" s="2862"/>
      <c r="O44" s="2862"/>
      <c r="P44" s="2862"/>
      <c r="Q44" s="2862"/>
      <c r="R44" s="2862"/>
      <c r="S44" s="2862"/>
      <c r="T44" s="2879"/>
      <c r="U44" s="1184"/>
      <c r="V44" s="1184"/>
      <c r="W44" s="1184"/>
      <c r="X44" s="1184"/>
      <c r="Y44" s="1184"/>
      <c r="Z44" s="1184"/>
      <c r="AA44" s="1184"/>
    </row>
    <row r="45" spans="2:27" ht="36">
      <c r="B45" s="2878" t="s">
        <v>1949</v>
      </c>
      <c r="C45" s="2864" t="s">
        <v>386</v>
      </c>
      <c r="D45" s="2861"/>
      <c r="E45" s="2860"/>
      <c r="F45" s="2860"/>
      <c r="G45" s="2860"/>
      <c r="H45" s="2860"/>
      <c r="I45" s="2860"/>
      <c r="J45" s="2860"/>
      <c r="K45" s="2862"/>
      <c r="L45" s="2862"/>
      <c r="M45" s="2862"/>
      <c r="N45" s="2862"/>
      <c r="O45" s="2862"/>
      <c r="P45" s="2862"/>
      <c r="Q45" s="2862"/>
      <c r="R45" s="2862"/>
      <c r="S45" s="2862"/>
      <c r="T45" s="2879"/>
      <c r="U45" s="1184"/>
      <c r="V45" s="1184"/>
      <c r="W45" s="1184"/>
      <c r="X45" s="1184"/>
      <c r="Y45" s="1184"/>
      <c r="Z45" s="1184"/>
      <c r="AA45" s="1184"/>
    </row>
    <row r="46" spans="2:27" ht="48">
      <c r="B46" s="2878" t="s">
        <v>1950</v>
      </c>
      <c r="C46" s="2864" t="s">
        <v>387</v>
      </c>
      <c r="D46" s="2861"/>
      <c r="E46" s="2860"/>
      <c r="F46" s="2860"/>
      <c r="G46" s="2860"/>
      <c r="H46" s="2860"/>
      <c r="I46" s="2860"/>
      <c r="J46" s="2860"/>
      <c r="K46" s="2862"/>
      <c r="L46" s="2862"/>
      <c r="M46" s="2862"/>
      <c r="N46" s="2862"/>
      <c r="O46" s="2862"/>
      <c r="P46" s="2862"/>
      <c r="Q46" s="2862"/>
      <c r="R46" s="2862"/>
      <c r="S46" s="2862"/>
      <c r="T46" s="2879"/>
      <c r="U46" s="1184"/>
      <c r="V46" s="1184"/>
      <c r="W46" s="1184"/>
      <c r="X46" s="1184"/>
      <c r="Y46" s="1184"/>
      <c r="Z46" s="1184"/>
      <c r="AA46" s="1184"/>
    </row>
    <row r="47" spans="2:27" ht="60">
      <c r="B47" s="2878" t="s">
        <v>1951</v>
      </c>
      <c r="C47" s="2864">
        <v>30</v>
      </c>
      <c r="D47" s="2861"/>
      <c r="E47" s="2860"/>
      <c r="F47" s="2860"/>
      <c r="G47" s="2860"/>
      <c r="H47" s="2860"/>
      <c r="I47" s="2860"/>
      <c r="J47" s="2860"/>
      <c r="K47" s="2862"/>
      <c r="L47" s="2862"/>
      <c r="M47" s="2862"/>
      <c r="N47" s="2862"/>
      <c r="O47" s="2862"/>
      <c r="P47" s="2862"/>
      <c r="Q47" s="2862"/>
      <c r="R47" s="2862"/>
      <c r="S47" s="2862"/>
      <c r="T47" s="2879"/>
      <c r="U47" s="1184"/>
      <c r="V47" s="1184"/>
      <c r="W47" s="1184"/>
      <c r="X47" s="1184"/>
      <c r="Y47" s="1184"/>
      <c r="Z47" s="1184"/>
      <c r="AA47" s="1184"/>
    </row>
    <row r="48" spans="2:27" ht="24">
      <c r="B48" s="2878" t="s">
        <v>2029</v>
      </c>
      <c r="C48" s="2864" t="s">
        <v>763</v>
      </c>
      <c r="D48" s="2865"/>
      <c r="E48" s="2866"/>
      <c r="F48" s="2860"/>
      <c r="G48" s="2860"/>
      <c r="H48" s="2860"/>
      <c r="I48" s="2860"/>
      <c r="J48" s="2860"/>
      <c r="K48" s="2862"/>
      <c r="L48" s="2862"/>
      <c r="M48" s="2862"/>
      <c r="N48" s="2862"/>
      <c r="O48" s="2862"/>
      <c r="P48" s="2862"/>
      <c r="Q48" s="2862"/>
      <c r="R48" s="2862"/>
      <c r="S48" s="2862"/>
      <c r="T48" s="2890"/>
      <c r="U48" s="1184"/>
      <c r="V48" s="1184"/>
      <c r="W48" s="1184"/>
      <c r="X48" s="1184"/>
      <c r="Y48" s="1184"/>
      <c r="Z48" s="1184"/>
      <c r="AA48" s="1184"/>
    </row>
    <row r="49" spans="2:27" ht="30.75" customHeight="1">
      <c r="B49" s="2878" t="s">
        <v>1953</v>
      </c>
      <c r="C49" s="2864" t="s">
        <v>390</v>
      </c>
      <c r="D49" s="2861"/>
      <c r="E49" s="2860"/>
      <c r="F49" s="2860"/>
      <c r="G49" s="2860"/>
      <c r="H49" s="2860"/>
      <c r="I49" s="2860"/>
      <c r="J49" s="2860"/>
      <c r="K49" s="2862"/>
      <c r="L49" s="2862"/>
      <c r="M49" s="2862"/>
      <c r="N49" s="2862"/>
      <c r="O49" s="2862"/>
      <c r="P49" s="2862"/>
      <c r="Q49" s="2862"/>
      <c r="R49" s="2862"/>
      <c r="S49" s="2862"/>
      <c r="T49" s="2997"/>
      <c r="U49" s="1184"/>
      <c r="V49" s="1184"/>
      <c r="W49" s="1184"/>
      <c r="X49" s="1184"/>
      <c r="Y49" s="1184"/>
      <c r="Z49" s="1184"/>
      <c r="AA49" s="1184"/>
    </row>
    <row r="50" spans="2:27" ht="24">
      <c r="B50" s="2878" t="s">
        <v>1954</v>
      </c>
      <c r="C50" s="2864" t="s">
        <v>394</v>
      </c>
      <c r="D50" s="3433"/>
      <c r="E50" s="2976"/>
      <c r="F50" s="2860"/>
      <c r="G50" s="2860"/>
      <c r="H50" s="2860"/>
      <c r="I50" s="2860"/>
      <c r="J50" s="2860"/>
      <c r="K50" s="2862"/>
      <c r="L50" s="2862"/>
      <c r="M50" s="2862"/>
      <c r="N50" s="2862"/>
      <c r="O50" s="2862"/>
      <c r="P50" s="2862"/>
      <c r="Q50" s="2862"/>
      <c r="R50" s="2862"/>
      <c r="S50" s="2862"/>
      <c r="T50" s="2998"/>
      <c r="U50" s="1184"/>
      <c r="V50" s="1184"/>
      <c r="W50" s="1184"/>
      <c r="X50" s="1184"/>
      <c r="Y50" s="1184"/>
      <c r="Z50" s="1184"/>
      <c r="AA50" s="1184"/>
    </row>
    <row r="51" spans="2:27" ht="36">
      <c r="B51" s="2878" t="s">
        <v>2030</v>
      </c>
      <c r="C51" s="2864" t="s">
        <v>396</v>
      </c>
      <c r="D51" s="2861"/>
      <c r="E51" s="2860"/>
      <c r="F51" s="2860"/>
      <c r="G51" s="2860"/>
      <c r="H51" s="2860"/>
      <c r="I51" s="2860"/>
      <c r="J51" s="2860"/>
      <c r="K51" s="2862"/>
      <c r="L51" s="2862"/>
      <c r="M51" s="2862"/>
      <c r="N51" s="2862"/>
      <c r="O51" s="2862"/>
      <c r="P51" s="2862"/>
      <c r="Q51" s="2862"/>
      <c r="R51" s="2862"/>
      <c r="S51" s="2862"/>
      <c r="T51" s="2997"/>
      <c r="U51" s="1184"/>
      <c r="V51" s="1184"/>
      <c r="W51" s="1184"/>
      <c r="X51" s="1184"/>
      <c r="Y51" s="1184"/>
      <c r="Z51" s="1184"/>
      <c r="AA51" s="1184"/>
    </row>
    <row r="52" spans="2:27" ht="49.9" customHeight="1">
      <c r="B52" s="2878" t="s">
        <v>1956</v>
      </c>
      <c r="C52" s="2864" t="s">
        <v>406</v>
      </c>
      <c r="D52" s="2861"/>
      <c r="E52" s="2860"/>
      <c r="F52" s="2860"/>
      <c r="G52" s="2860"/>
      <c r="H52" s="2860"/>
      <c r="I52" s="2860"/>
      <c r="J52" s="2860"/>
      <c r="K52" s="2862"/>
      <c r="L52" s="2862"/>
      <c r="M52" s="2862"/>
      <c r="N52" s="2862"/>
      <c r="O52" s="2862"/>
      <c r="P52" s="2862"/>
      <c r="Q52" s="2862"/>
      <c r="R52" s="2862"/>
      <c r="S52" s="2862"/>
      <c r="T52" s="2879"/>
      <c r="U52" s="1184"/>
      <c r="V52" s="1184"/>
      <c r="W52" s="1184"/>
      <c r="X52" s="1184"/>
      <c r="Y52" s="1184"/>
      <c r="Z52" s="1184"/>
      <c r="AA52" s="1184"/>
    </row>
    <row r="53" spans="2:27" ht="48">
      <c r="B53" s="2878" t="s">
        <v>1957</v>
      </c>
      <c r="C53" s="2864" t="s">
        <v>769</v>
      </c>
      <c r="D53" s="2861"/>
      <c r="E53" s="2860"/>
      <c r="F53" s="2860"/>
      <c r="G53" s="2860"/>
      <c r="H53" s="2860"/>
      <c r="I53" s="2860"/>
      <c r="J53" s="2860"/>
      <c r="K53" s="2862"/>
      <c r="L53" s="2862"/>
      <c r="M53" s="2862"/>
      <c r="N53" s="2862"/>
      <c r="O53" s="2862"/>
      <c r="P53" s="2862"/>
      <c r="Q53" s="2862"/>
      <c r="R53" s="2862"/>
      <c r="S53" s="2862"/>
      <c r="T53" s="2879"/>
      <c r="U53" s="1184"/>
      <c r="V53" s="1184"/>
      <c r="W53" s="1184"/>
      <c r="X53" s="1184"/>
      <c r="Y53" s="1184"/>
      <c r="Z53" s="1184"/>
      <c r="AA53" s="1184"/>
    </row>
    <row r="54" spans="2:27" ht="36">
      <c r="B54" s="2878" t="s">
        <v>2528</v>
      </c>
      <c r="C54" s="2864" t="s">
        <v>775</v>
      </c>
      <c r="D54" s="2861"/>
      <c r="E54" s="2860"/>
      <c r="F54" s="2860"/>
      <c r="G54" s="2860"/>
      <c r="H54" s="2860"/>
      <c r="I54" s="2860"/>
      <c r="J54" s="2860"/>
      <c r="K54" s="2862"/>
      <c r="L54" s="2862"/>
      <c r="M54" s="2862"/>
      <c r="N54" s="2862"/>
      <c r="O54" s="2862"/>
      <c r="P54" s="2862"/>
      <c r="Q54" s="2862"/>
      <c r="R54" s="2862"/>
      <c r="S54" s="2862"/>
      <c r="T54" s="2879"/>
      <c r="U54" s="1184"/>
      <c r="V54" s="1184"/>
      <c r="W54" s="1184"/>
      <c r="X54" s="1184"/>
      <c r="Y54" s="1184"/>
      <c r="Z54" s="1184"/>
      <c r="AA54" s="1184"/>
    </row>
    <row r="55" spans="2:27" ht="24">
      <c r="B55" s="2881" t="s">
        <v>2529</v>
      </c>
      <c r="C55" s="2888" t="s">
        <v>411</v>
      </c>
      <c r="D55" s="2883"/>
      <c r="E55" s="2882"/>
      <c r="F55" s="2882"/>
      <c r="G55" s="2882"/>
      <c r="H55" s="2882"/>
      <c r="I55" s="2882"/>
      <c r="J55" s="2882"/>
      <c r="K55" s="2884"/>
      <c r="L55" s="2884"/>
      <c r="M55" s="2884"/>
      <c r="N55" s="2884"/>
      <c r="O55" s="2884"/>
      <c r="P55" s="2884"/>
      <c r="Q55" s="2884"/>
      <c r="R55" s="2884"/>
      <c r="S55" s="2884"/>
      <c r="T55" s="2885"/>
      <c r="U55" s="1184"/>
      <c r="V55" s="1184"/>
      <c r="W55" s="1184"/>
      <c r="X55" s="1184"/>
      <c r="Y55" s="1184"/>
      <c r="Z55" s="1184"/>
      <c r="AA55" s="1184"/>
    </row>
    <row r="56" spans="2:27" ht="24">
      <c r="B56" s="2886" t="s">
        <v>2530</v>
      </c>
      <c r="C56" s="2889" t="s">
        <v>412</v>
      </c>
      <c r="D56" s="2887"/>
      <c r="E56" s="2873"/>
      <c r="F56" s="2873"/>
      <c r="G56" s="2873"/>
      <c r="H56" s="2873"/>
      <c r="I56" s="2873"/>
      <c r="J56" s="2873"/>
      <c r="K56" s="2876"/>
      <c r="L56" s="2876"/>
      <c r="M56" s="2876"/>
      <c r="N56" s="2876"/>
      <c r="O56" s="2876"/>
      <c r="P56" s="2876"/>
      <c r="Q56" s="2876"/>
      <c r="R56" s="2876"/>
      <c r="S56" s="2876"/>
      <c r="T56" s="2877"/>
      <c r="U56" s="1184"/>
      <c r="V56" s="1184"/>
      <c r="W56" s="1184"/>
      <c r="X56" s="1184"/>
      <c r="Y56" s="1184"/>
      <c r="Z56" s="1184"/>
      <c r="AA56" s="1184"/>
    </row>
    <row r="57" spans="2:27" ht="36">
      <c r="B57" s="2878" t="s">
        <v>2531</v>
      </c>
      <c r="C57" s="2864" t="s">
        <v>413</v>
      </c>
      <c r="D57" s="2861"/>
      <c r="E57" s="2860"/>
      <c r="F57" s="2860"/>
      <c r="G57" s="2860"/>
      <c r="H57" s="2860"/>
      <c r="I57" s="2860"/>
      <c r="J57" s="2860"/>
      <c r="K57" s="2862"/>
      <c r="L57" s="2862"/>
      <c r="M57" s="2862"/>
      <c r="N57" s="2862"/>
      <c r="O57" s="2862"/>
      <c r="P57" s="2862"/>
      <c r="Q57" s="2862"/>
      <c r="R57" s="2862"/>
      <c r="S57" s="2862"/>
      <c r="T57" s="2879"/>
      <c r="U57" s="1184"/>
      <c r="V57" s="1184"/>
      <c r="W57" s="1184"/>
      <c r="X57" s="1184"/>
      <c r="Y57" s="1184"/>
      <c r="Z57" s="1184"/>
      <c r="AA57" s="1184"/>
    </row>
    <row r="58" spans="2:27" ht="36">
      <c r="B58" s="2878" t="s">
        <v>2532</v>
      </c>
      <c r="C58" s="2864" t="s">
        <v>414</v>
      </c>
      <c r="D58" s="2861"/>
      <c r="E58" s="2860"/>
      <c r="F58" s="2860"/>
      <c r="G58" s="2860"/>
      <c r="H58" s="2860"/>
      <c r="I58" s="2860"/>
      <c r="J58" s="2860"/>
      <c r="K58" s="2862"/>
      <c r="L58" s="2862"/>
      <c r="M58" s="2862"/>
      <c r="N58" s="2862"/>
      <c r="O58" s="2862"/>
      <c r="P58" s="2862"/>
      <c r="Q58" s="2862"/>
      <c r="R58" s="2862"/>
      <c r="S58" s="2862"/>
      <c r="T58" s="2879"/>
      <c r="U58" s="1184"/>
      <c r="V58" s="1184"/>
      <c r="W58" s="1184"/>
      <c r="X58" s="1184"/>
      <c r="Y58" s="1184"/>
      <c r="Z58" s="1184"/>
      <c r="AA58" s="1184"/>
    </row>
    <row r="59" spans="2:27" ht="48">
      <c r="B59" s="2878" t="s">
        <v>2533</v>
      </c>
      <c r="C59" s="2864" t="s">
        <v>782</v>
      </c>
      <c r="D59" s="2861"/>
      <c r="E59" s="2860"/>
      <c r="F59" s="2860"/>
      <c r="G59" s="2860"/>
      <c r="H59" s="2860"/>
      <c r="I59" s="2860"/>
      <c r="J59" s="2860"/>
      <c r="K59" s="2862"/>
      <c r="L59" s="2862"/>
      <c r="M59" s="2862"/>
      <c r="N59" s="2862"/>
      <c r="O59" s="2862"/>
      <c r="P59" s="2862"/>
      <c r="Q59" s="2862"/>
      <c r="R59" s="2862"/>
      <c r="S59" s="2862"/>
      <c r="T59" s="2879"/>
      <c r="U59" s="1184"/>
      <c r="V59" s="1184"/>
      <c r="W59" s="1184"/>
      <c r="X59" s="1184"/>
      <c r="Y59" s="1184"/>
      <c r="Z59" s="1184"/>
      <c r="AA59" s="1184"/>
    </row>
    <row r="60" spans="2:27" ht="36">
      <c r="B60" s="2878" t="s">
        <v>2534</v>
      </c>
      <c r="C60" s="2864" t="s">
        <v>53</v>
      </c>
      <c r="D60" s="2861"/>
      <c r="E60" s="2860"/>
      <c r="F60" s="2860"/>
      <c r="G60" s="2860"/>
      <c r="H60" s="2860"/>
      <c r="I60" s="2860"/>
      <c r="J60" s="2860"/>
      <c r="K60" s="2862"/>
      <c r="L60" s="2862"/>
      <c r="M60" s="2862"/>
      <c r="N60" s="2862"/>
      <c r="O60" s="2862"/>
      <c r="P60" s="2862"/>
      <c r="Q60" s="2862"/>
      <c r="R60" s="2862"/>
      <c r="S60" s="2862"/>
      <c r="T60" s="2879"/>
      <c r="U60" s="1184"/>
      <c r="V60" s="1184"/>
      <c r="W60" s="1184"/>
      <c r="X60" s="1184"/>
      <c r="Y60" s="1184"/>
      <c r="Z60" s="1184"/>
      <c r="AA60" s="1184"/>
    </row>
    <row r="61" spans="2:27" ht="60">
      <c r="B61" s="2878" t="s">
        <v>2535</v>
      </c>
      <c r="C61" s="2864" t="s">
        <v>418</v>
      </c>
      <c r="D61" s="2861"/>
      <c r="E61" s="2860"/>
      <c r="F61" s="2860"/>
      <c r="G61" s="2860"/>
      <c r="H61" s="2860"/>
      <c r="I61" s="2860"/>
      <c r="J61" s="2860"/>
      <c r="K61" s="2862"/>
      <c r="L61" s="2862"/>
      <c r="M61" s="2862"/>
      <c r="N61" s="2862"/>
      <c r="O61" s="2862"/>
      <c r="P61" s="2862"/>
      <c r="Q61" s="2862"/>
      <c r="R61" s="2862"/>
      <c r="S61" s="2862"/>
      <c r="T61" s="2879"/>
      <c r="U61" s="1184"/>
      <c r="V61" s="1184"/>
      <c r="W61" s="1184"/>
      <c r="X61" s="1184"/>
      <c r="Y61" s="1184"/>
      <c r="Z61" s="1184"/>
      <c r="AA61" s="1184"/>
    </row>
    <row r="62" spans="2:27" ht="36">
      <c r="B62" s="2878" t="s">
        <v>2536</v>
      </c>
      <c r="C62" s="2864" t="s">
        <v>70</v>
      </c>
      <c r="D62" s="2861"/>
      <c r="E62" s="2860"/>
      <c r="F62" s="2860"/>
      <c r="G62" s="2860"/>
      <c r="H62" s="2860"/>
      <c r="I62" s="2860"/>
      <c r="J62" s="2860"/>
      <c r="K62" s="2862"/>
      <c r="L62" s="2862"/>
      <c r="M62" s="2862"/>
      <c r="N62" s="2862"/>
      <c r="O62" s="2862"/>
      <c r="P62" s="2862"/>
      <c r="Q62" s="2862"/>
      <c r="R62" s="2862"/>
      <c r="S62" s="2862"/>
      <c r="T62" s="2879"/>
      <c r="U62" s="1184"/>
      <c r="V62" s="1184"/>
      <c r="W62" s="1184"/>
      <c r="X62" s="1184"/>
      <c r="Y62" s="1184"/>
      <c r="Z62" s="1184"/>
      <c r="AA62" s="1184"/>
    </row>
    <row r="63" spans="2:27" ht="24">
      <c r="B63" s="2878" t="s">
        <v>2537</v>
      </c>
      <c r="C63" s="2864" t="s">
        <v>419</v>
      </c>
      <c r="D63" s="2861"/>
      <c r="E63" s="2860"/>
      <c r="F63" s="2860"/>
      <c r="G63" s="2860"/>
      <c r="H63" s="2860"/>
      <c r="I63" s="2860"/>
      <c r="J63" s="2860"/>
      <c r="K63" s="2862"/>
      <c r="L63" s="2862"/>
      <c r="M63" s="2862"/>
      <c r="N63" s="2862"/>
      <c r="O63" s="2862"/>
      <c r="P63" s="2862"/>
      <c r="Q63" s="2862"/>
      <c r="R63" s="2862"/>
      <c r="S63" s="2862"/>
      <c r="T63" s="2879"/>
      <c r="U63" s="1184"/>
      <c r="V63" s="1184"/>
      <c r="W63" s="1184"/>
      <c r="X63" s="1184"/>
      <c r="Y63" s="1184"/>
      <c r="Z63" s="1184"/>
      <c r="AA63" s="1184"/>
    </row>
    <row r="64" spans="2:27" ht="48">
      <c r="B64" s="2878" t="s">
        <v>2538</v>
      </c>
      <c r="C64" s="2864" t="s">
        <v>2539</v>
      </c>
      <c r="D64" s="2861"/>
      <c r="E64" s="2860"/>
      <c r="F64" s="2860"/>
      <c r="G64" s="2860"/>
      <c r="H64" s="2860"/>
      <c r="I64" s="2860"/>
      <c r="J64" s="2860"/>
      <c r="K64" s="2862"/>
      <c r="L64" s="2862"/>
      <c r="M64" s="2862"/>
      <c r="N64" s="2862"/>
      <c r="O64" s="2862"/>
      <c r="P64" s="2862"/>
      <c r="Q64" s="2862"/>
      <c r="R64" s="2862"/>
      <c r="S64" s="2862"/>
      <c r="T64" s="2997"/>
      <c r="U64" s="1184"/>
      <c r="V64" s="1184"/>
      <c r="W64" s="1184"/>
      <c r="X64" s="1184"/>
      <c r="Y64" s="1184"/>
      <c r="Z64" s="1184"/>
      <c r="AA64" s="1184"/>
    </row>
    <row r="65" spans="2:27" ht="24">
      <c r="B65" s="2878" t="s">
        <v>2540</v>
      </c>
      <c r="C65" s="2864" t="s">
        <v>2541</v>
      </c>
      <c r="D65" s="2861"/>
      <c r="E65" s="2860"/>
      <c r="F65" s="2860"/>
      <c r="G65" s="2860"/>
      <c r="H65" s="2860"/>
      <c r="I65" s="2860"/>
      <c r="J65" s="2860"/>
      <c r="K65" s="2862"/>
      <c r="L65" s="2862"/>
      <c r="M65" s="2862"/>
      <c r="N65" s="2862"/>
      <c r="O65" s="2862"/>
      <c r="P65" s="2862"/>
      <c r="Q65" s="2862"/>
      <c r="R65" s="2862"/>
      <c r="S65" s="2862"/>
      <c r="T65" s="2997"/>
      <c r="U65" s="1184"/>
      <c r="V65" s="1184"/>
      <c r="W65" s="1184"/>
      <c r="X65" s="1184"/>
      <c r="Y65" s="1184"/>
      <c r="Z65" s="1184"/>
      <c r="AA65" s="1184"/>
    </row>
    <row r="66" spans="2:27" ht="21.6" customHeight="1">
      <c r="B66" s="2891" t="s">
        <v>2542</v>
      </c>
      <c r="C66" s="2892">
        <v>99</v>
      </c>
      <c r="D66" s="2893">
        <f>SUM(D9:D65)</f>
        <v>0</v>
      </c>
      <c r="E66" s="2893">
        <f t="shared" ref="E66:T66" si="0">SUM(E9:E65)</f>
        <v>0</v>
      </c>
      <c r="F66" s="2894">
        <f t="shared" si="0"/>
        <v>0</v>
      </c>
      <c r="G66" s="2894">
        <f t="shared" si="0"/>
        <v>0</v>
      </c>
      <c r="H66" s="2894">
        <f t="shared" si="0"/>
        <v>0</v>
      </c>
      <c r="I66" s="2894">
        <f t="shared" si="0"/>
        <v>0</v>
      </c>
      <c r="J66" s="2894">
        <f t="shared" si="0"/>
        <v>0</v>
      </c>
      <c r="K66" s="2894">
        <f t="shared" si="0"/>
        <v>0</v>
      </c>
      <c r="L66" s="2894">
        <f t="shared" si="0"/>
        <v>0</v>
      </c>
      <c r="M66" s="2894">
        <f t="shared" si="0"/>
        <v>0</v>
      </c>
      <c r="N66" s="2894">
        <f t="shared" si="0"/>
        <v>0</v>
      </c>
      <c r="O66" s="2894">
        <f t="shared" si="0"/>
        <v>0</v>
      </c>
      <c r="P66" s="2894">
        <f t="shared" si="0"/>
        <v>0</v>
      </c>
      <c r="Q66" s="2894">
        <f t="shared" si="0"/>
        <v>0</v>
      </c>
      <c r="R66" s="2894">
        <f t="shared" si="0"/>
        <v>0</v>
      </c>
      <c r="S66" s="2894">
        <f t="shared" si="0"/>
        <v>0</v>
      </c>
      <c r="T66" s="3434">
        <f t="shared" si="0"/>
        <v>0</v>
      </c>
      <c r="U66" s="1184"/>
      <c r="V66" s="1184"/>
      <c r="W66" s="1184"/>
      <c r="X66" s="1184"/>
      <c r="Y66" s="1184"/>
      <c r="Z66" s="1184"/>
      <c r="AA66" s="1184"/>
    </row>
    <row r="67" spans="2:27">
      <c r="C67" s="1187"/>
      <c r="K67" s="1184"/>
      <c r="L67" s="1184"/>
      <c r="M67" s="1184"/>
      <c r="N67" s="1184"/>
      <c r="O67" s="1184"/>
      <c r="P67" s="1184"/>
      <c r="Q67" s="1184"/>
      <c r="R67" s="1184"/>
      <c r="S67" s="1184"/>
      <c r="U67" s="1184"/>
      <c r="V67" s="1184"/>
      <c r="W67" s="1184"/>
      <c r="X67" s="1184"/>
      <c r="Y67" s="1184"/>
      <c r="Z67" s="1184"/>
      <c r="AA67" s="1184"/>
    </row>
    <row r="68" spans="2:27" ht="26.25" customHeight="1">
      <c r="B68" s="4061" t="s">
        <v>2031</v>
      </c>
      <c r="C68" s="4061"/>
      <c r="D68" s="4061"/>
      <c r="E68" s="4061"/>
      <c r="F68" s="4061"/>
      <c r="G68" s="4061"/>
      <c r="H68" s="4061"/>
      <c r="I68" s="4061"/>
      <c r="J68" s="4061"/>
      <c r="K68" s="4061"/>
      <c r="L68" s="4061"/>
      <c r="M68" s="4061"/>
      <c r="N68" s="4061"/>
      <c r="O68" s="4061"/>
      <c r="P68" s="4061"/>
      <c r="Q68" s="4061"/>
      <c r="R68" s="4061"/>
      <c r="S68" s="4061"/>
      <c r="T68" s="4061"/>
      <c r="U68" s="1184"/>
      <c r="V68" s="1184"/>
      <c r="W68" s="1184"/>
      <c r="X68" s="1184"/>
      <c r="Y68" s="1184"/>
      <c r="Z68" s="1184"/>
      <c r="AA68" s="1184"/>
    </row>
    <row r="69" spans="2:27" ht="16.899999999999999" customHeight="1">
      <c r="B69" s="1188"/>
      <c r="C69" s="1189"/>
      <c r="D69" s="1189"/>
      <c r="E69" s="1189"/>
      <c r="F69" s="1189"/>
      <c r="G69" s="1189"/>
      <c r="H69" s="1189"/>
      <c r="I69" s="1189"/>
      <c r="J69" s="1189"/>
      <c r="K69" s="1189"/>
      <c r="L69" s="1189"/>
      <c r="M69" s="1189"/>
      <c r="N69" s="1189"/>
      <c r="O69" s="1189"/>
      <c r="P69" s="1189"/>
      <c r="Q69" s="1189"/>
      <c r="R69" s="1189"/>
      <c r="S69" s="1189"/>
      <c r="T69" s="1189"/>
      <c r="U69" s="1184"/>
      <c r="V69" s="1184"/>
      <c r="W69" s="1184"/>
      <c r="X69" s="1184"/>
      <c r="Y69" s="1184"/>
      <c r="Z69" s="1184"/>
      <c r="AA69" s="1184"/>
    </row>
    <row r="70" spans="2:27" ht="17.25" customHeight="1">
      <c r="B70" s="4062" t="str">
        <f>+'ANEXA 1'!B94</f>
        <v>DIRECTOR  GENERAL,</v>
      </c>
      <c r="C70" s="4062"/>
      <c r="D70" s="4062"/>
      <c r="E70" s="4062"/>
      <c r="F70" s="48"/>
      <c r="G70" s="69"/>
      <c r="H70" s="67"/>
      <c r="I70" s="4003" t="str">
        <f>+'ANEXA 1'!D94</f>
        <v>DIRECTOR  EXECUTIV  ECONOMIC,</v>
      </c>
      <c r="J70" s="4003"/>
      <c r="K70" s="4003"/>
      <c r="L70" s="4003"/>
      <c r="M70" s="4003"/>
      <c r="N70" s="4003"/>
      <c r="O70" s="4003"/>
      <c r="P70" s="1189"/>
      <c r="Q70" s="1189"/>
      <c r="R70" s="1189"/>
      <c r="S70" s="1189"/>
      <c r="T70" s="1189"/>
      <c r="U70" s="1184"/>
      <c r="V70" s="1184"/>
      <c r="W70" s="1184"/>
      <c r="X70" s="1184"/>
      <c r="Y70" s="1184"/>
      <c r="Z70" s="1184"/>
      <c r="AA70" s="1184"/>
    </row>
    <row r="71" spans="2:27" ht="15">
      <c r="B71" s="48"/>
      <c r="C71" s="48"/>
      <c r="D71" s="48"/>
      <c r="E71" s="48"/>
      <c r="F71" s="48"/>
      <c r="G71" s="48"/>
      <c r="H71" s="48"/>
      <c r="I71" s="322"/>
      <c r="J71" s="322"/>
      <c r="K71" s="322"/>
      <c r="L71" s="322"/>
      <c r="M71" s="322"/>
      <c r="N71" s="322"/>
      <c r="O71" s="322"/>
      <c r="P71" s="1184"/>
      <c r="Q71" s="1184"/>
      <c r="R71" s="1184"/>
      <c r="S71" s="1184"/>
      <c r="U71" s="1184"/>
      <c r="V71" s="1184"/>
      <c r="W71" s="1184"/>
      <c r="X71" s="1184"/>
      <c r="Y71" s="1184"/>
      <c r="Z71" s="1184"/>
      <c r="AA71" s="1184"/>
    </row>
    <row r="72" spans="2:27" ht="15.75">
      <c r="B72" s="4040" t="str">
        <f>'ANEXA 1'!B96</f>
        <v>EC.ALBU DRINA</v>
      </c>
      <c r="C72" s="4040"/>
      <c r="D72" s="4040"/>
      <c r="E72" s="4040"/>
      <c r="F72" s="213"/>
      <c r="G72" s="213"/>
      <c r="H72" s="213"/>
      <c r="I72" s="4055" t="str">
        <f>+'ANEXA 1'!D96</f>
        <v>EC.BIRCU FLORINA</v>
      </c>
      <c r="J72" s="4055"/>
      <c r="K72" s="4055"/>
      <c r="L72" s="4055"/>
      <c r="M72" s="4055"/>
      <c r="N72" s="4055"/>
      <c r="O72" s="4055"/>
      <c r="P72" s="1239"/>
      <c r="Q72" s="1239"/>
      <c r="R72" s="1239"/>
      <c r="S72" s="1239"/>
      <c r="T72" s="1239"/>
    </row>
    <row r="73" spans="2:27" ht="14.25">
      <c r="B73" s="4056">
        <f>'ANEXA 1'!B97</f>
        <v>0</v>
      </c>
      <c r="C73" s="4056"/>
      <c r="D73" s="4056"/>
      <c r="E73" s="4056"/>
      <c r="F73" s="213"/>
      <c r="G73" s="213"/>
      <c r="H73" s="213"/>
      <c r="I73" s="213"/>
      <c r="J73" s="213"/>
      <c r="K73" s="213"/>
      <c r="L73" s="213"/>
      <c r="M73" s="213"/>
      <c r="N73" s="213"/>
      <c r="O73" s="213"/>
      <c r="P73" s="1239"/>
      <c r="Q73" s="1239"/>
      <c r="R73" s="1239"/>
      <c r="S73" s="1239"/>
      <c r="T73" s="1239"/>
    </row>
    <row r="74" spans="2:27" hidden="1">
      <c r="B74" s="48"/>
      <c r="C74" s="48"/>
      <c r="D74" s="48"/>
      <c r="E74" s="48"/>
      <c r="F74" s="48"/>
      <c r="G74" s="48"/>
      <c r="H74" s="48"/>
      <c r="I74" s="48"/>
      <c r="J74" s="48"/>
      <c r="K74" s="48"/>
      <c r="L74" s="48"/>
      <c r="M74" s="48"/>
      <c r="N74" s="48"/>
      <c r="O74" s="48"/>
    </row>
    <row r="75" spans="2:27" hidden="1">
      <c r="B75" s="48"/>
      <c r="C75" s="48"/>
      <c r="D75" s="48"/>
      <c r="E75" s="48"/>
      <c r="F75" s="48"/>
      <c r="G75" s="48"/>
      <c r="H75" s="48"/>
      <c r="I75" s="48"/>
      <c r="J75" s="48"/>
      <c r="K75" s="48"/>
      <c r="L75" s="48"/>
      <c r="M75" s="48"/>
      <c r="N75" s="48"/>
      <c r="O75" s="1054"/>
    </row>
    <row r="76" spans="2:27" ht="15" hidden="1">
      <c r="B76" s="48"/>
      <c r="C76" s="48"/>
      <c r="D76" s="48"/>
      <c r="E76" s="48"/>
      <c r="F76" s="48"/>
      <c r="G76" s="48"/>
      <c r="H76" s="48"/>
      <c r="I76" s="48"/>
      <c r="J76" s="67"/>
      <c r="K76" s="67"/>
      <c r="L76" s="69"/>
      <c r="M76" s="69"/>
      <c r="N76" s="69"/>
      <c r="O76" s="1054"/>
    </row>
    <row r="77" spans="2:27">
      <c r="B77" s="48"/>
      <c r="C77" s="48"/>
      <c r="D77" s="48"/>
      <c r="E77" s="48"/>
      <c r="F77" s="48"/>
      <c r="G77" s="48"/>
      <c r="H77" s="48"/>
      <c r="I77" s="48"/>
      <c r="J77" s="48"/>
      <c r="K77" s="48"/>
      <c r="L77" s="69"/>
      <c r="M77" s="69"/>
      <c r="N77" s="69"/>
      <c r="O77" s="1054"/>
    </row>
    <row r="78" spans="2:27" ht="15">
      <c r="B78" s="4006">
        <f>+'ANEXA 1'!B99</f>
        <v>0</v>
      </c>
      <c r="C78" s="4007"/>
      <c r="D78" s="4007"/>
      <c r="E78" s="4007"/>
      <c r="F78" s="48"/>
      <c r="G78" s="48"/>
      <c r="H78" s="48"/>
      <c r="I78" s="48"/>
      <c r="J78" s="4005">
        <f>'ANEXA 1'!D99</f>
        <v>0</v>
      </c>
      <c r="K78" s="4005"/>
      <c r="L78" s="4005"/>
      <c r="M78" s="4005"/>
      <c r="N78" s="4005"/>
      <c r="O78" s="4005"/>
    </row>
    <row r="79" spans="2:27" ht="15">
      <c r="B79" s="719"/>
      <c r="C79" s="719"/>
      <c r="D79" s="719"/>
      <c r="E79" s="719"/>
      <c r="F79" s="48"/>
      <c r="G79" s="48"/>
      <c r="H79" s="48"/>
      <c r="I79" s="48"/>
      <c r="J79" s="1585"/>
      <c r="K79" s="1585"/>
      <c r="L79" s="1585"/>
      <c r="M79" s="1585"/>
      <c r="N79" s="1585"/>
      <c r="O79" s="269"/>
    </row>
    <row r="80" spans="2:27" ht="15">
      <c r="B80" s="4007">
        <f>+'ANEXA 1'!B101</f>
        <v>0</v>
      </c>
      <c r="C80" s="4007"/>
      <c r="D80" s="4007"/>
      <c r="E80" s="4007"/>
      <c r="F80" s="48"/>
      <c r="G80" s="48"/>
      <c r="H80" s="48"/>
      <c r="I80" s="48"/>
      <c r="J80" s="4005">
        <f>'ANEXA 1'!D101</f>
        <v>0</v>
      </c>
      <c r="K80" s="4005"/>
      <c r="L80" s="4005"/>
      <c r="M80" s="4005"/>
      <c r="N80" s="4005"/>
      <c r="O80" s="4005"/>
    </row>
    <row r="81" spans="2:15">
      <c r="B81" s="48"/>
      <c r="C81" s="48"/>
      <c r="D81" s="48"/>
      <c r="E81" s="48"/>
      <c r="F81" s="48"/>
      <c r="G81" s="48"/>
      <c r="H81" s="48"/>
      <c r="I81" s="48"/>
      <c r="J81" s="48"/>
      <c r="K81" s="48"/>
      <c r="L81" s="48"/>
      <c r="M81" s="48"/>
      <c r="N81" s="48"/>
      <c r="O81" s="48"/>
    </row>
  </sheetData>
  <sheetProtection password="CFDD" sheet="1" objects="1" scenarios="1"/>
  <mergeCells count="21">
    <mergeCell ref="S6:S7"/>
    <mergeCell ref="T6:T7"/>
    <mergeCell ref="B68:T68"/>
    <mergeCell ref="I70:O70"/>
    <mergeCell ref="B70:E70"/>
    <mergeCell ref="J80:O80"/>
    <mergeCell ref="B3:Q3"/>
    <mergeCell ref="B6:B7"/>
    <mergeCell ref="C6:C7"/>
    <mergeCell ref="D6:D7"/>
    <mergeCell ref="E6:E7"/>
    <mergeCell ref="F6:F7"/>
    <mergeCell ref="G6:G7"/>
    <mergeCell ref="H6:H7"/>
    <mergeCell ref="K6:Q6"/>
    <mergeCell ref="I72:O72"/>
    <mergeCell ref="J78:O78"/>
    <mergeCell ref="B78:E78"/>
    <mergeCell ref="B80:E80"/>
    <mergeCell ref="B72:E72"/>
    <mergeCell ref="B73:E73"/>
  </mergeCells>
  <pageMargins left="0.70866141732283472" right="0.70866141732283472" top="0.74803149606299213" bottom="0.74803149606299213" header="0.31496062992125984" footer="0.31496062992125984"/>
  <pageSetup paperSize="9" scale="76" orientation="landscape" r:id="rId1"/>
  <headerFooter>
    <oddFooter>&amp;A&amp;RPagina &amp;P</oddFooter>
  </headerFooter>
  <rowBreaks count="3" manualBreakCount="3">
    <brk id="23" max="16383" man="1"/>
    <brk id="40" max="19" man="1"/>
    <brk id="55"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58">
    <tabColor rgb="FFC00000"/>
  </sheetPr>
  <dimension ref="A1:AA80"/>
  <sheetViews>
    <sheetView showZeros="0" topLeftCell="B61" zoomScaleNormal="100" workbookViewId="0">
      <selection activeCell="G14" sqref="G14"/>
    </sheetView>
  </sheetViews>
  <sheetFormatPr defaultColWidth="9.140625" defaultRowHeight="12.75"/>
  <cols>
    <col min="1" max="1" width="0" style="699" hidden="1" customWidth="1"/>
    <col min="2" max="2" width="31.5703125" style="699" customWidth="1"/>
    <col min="3" max="3" width="5.28515625" style="699" customWidth="1"/>
    <col min="4" max="5" width="10.7109375" style="699" customWidth="1"/>
    <col min="6" max="7" width="11.85546875" style="699" customWidth="1"/>
    <col min="8" max="8" width="13.85546875" style="699" customWidth="1"/>
    <col min="9" max="9" width="10.42578125" style="699" customWidth="1"/>
    <col min="10" max="10" width="6" style="699" customWidth="1"/>
    <col min="11" max="12" width="5.140625" style="699" customWidth="1"/>
    <col min="13" max="13" width="4.28515625" style="699" customWidth="1"/>
    <col min="14" max="14" width="5.28515625" style="699" customWidth="1"/>
    <col min="15" max="15" width="4.5703125" style="699" customWidth="1"/>
    <col min="16" max="16" width="8.140625" style="699" customWidth="1"/>
    <col min="17" max="17" width="7" style="699" customWidth="1"/>
    <col min="18" max="18" width="11.140625" style="699" customWidth="1"/>
    <col min="19" max="19" width="13.140625" style="699" customWidth="1"/>
    <col min="20" max="20" width="11.7109375" style="699" customWidth="1"/>
    <col min="21" max="16384" width="9.140625" style="699"/>
  </cols>
  <sheetData>
    <row r="1" spans="1:27" ht="15">
      <c r="B1" s="4074" t="str">
        <f>+'ANEXA 1'!A1</f>
        <v>CASA  DE  ASIGURĂRI  DE  SĂNĂTATE MEHEDINTI</v>
      </c>
      <c r="C1" s="4074"/>
      <c r="D1" s="4074"/>
      <c r="E1" s="4074"/>
    </row>
    <row r="2" spans="1:27">
      <c r="P2" s="699" t="s">
        <v>1887</v>
      </c>
    </row>
    <row r="3" spans="1:27" s="1135" customFormat="1" ht="18" customHeight="1">
      <c r="B3" s="4075" t="s">
        <v>1888</v>
      </c>
      <c r="C3" s="4075"/>
      <c r="D3" s="4075"/>
      <c r="E3" s="4075"/>
      <c r="F3" s="4075"/>
      <c r="G3" s="4075"/>
      <c r="H3" s="4075"/>
      <c r="I3" s="4075"/>
      <c r="J3" s="4075"/>
      <c r="K3" s="4075"/>
      <c r="L3" s="4075"/>
      <c r="M3" s="4075"/>
      <c r="N3" s="4075"/>
      <c r="O3" s="4075"/>
      <c r="P3" s="4075"/>
      <c r="Q3" s="4075"/>
      <c r="R3" s="1136"/>
      <c r="S3" s="1136"/>
      <c r="T3" s="1136"/>
    </row>
    <row r="4" spans="1:27" ht="12.75" customHeight="1"/>
    <row r="5" spans="1:27" ht="14.25" customHeight="1">
      <c r="B5" s="1157" t="s">
        <v>1889</v>
      </c>
      <c r="C5" s="1137"/>
      <c r="D5" s="1137"/>
      <c r="E5" s="1137"/>
      <c r="F5" s="1137"/>
      <c r="G5" s="1137"/>
      <c r="H5" s="1137"/>
      <c r="I5" s="1137"/>
      <c r="J5" s="1137"/>
      <c r="K5" s="1137"/>
      <c r="L5" s="1137"/>
      <c r="M5" s="1137"/>
      <c r="N5" s="1137"/>
      <c r="O5" s="1137"/>
      <c r="P5" s="1137"/>
      <c r="Q5" s="1137"/>
      <c r="R5" s="1137"/>
      <c r="S5" s="1137"/>
      <c r="T5" s="1138" t="s">
        <v>271</v>
      </c>
    </row>
    <row r="6" spans="1:27" ht="19.5" customHeight="1">
      <c r="B6" s="4076" t="s">
        <v>328</v>
      </c>
      <c r="C6" s="4071" t="s">
        <v>230</v>
      </c>
      <c r="D6" s="4071" t="s">
        <v>1890</v>
      </c>
      <c r="E6" s="4071" t="s">
        <v>1891</v>
      </c>
      <c r="F6" s="4071" t="s">
        <v>1892</v>
      </c>
      <c r="G6" s="4071" t="s">
        <v>1893</v>
      </c>
      <c r="H6" s="4071" t="s">
        <v>1894</v>
      </c>
      <c r="I6" s="4071" t="s">
        <v>1895</v>
      </c>
      <c r="J6" s="1190"/>
      <c r="K6" s="4073" t="s">
        <v>1896</v>
      </c>
      <c r="L6" s="4073"/>
      <c r="M6" s="4073"/>
      <c r="N6" s="4073"/>
      <c r="O6" s="4073"/>
      <c r="P6" s="4073"/>
      <c r="Q6" s="4073"/>
      <c r="R6" s="1191"/>
      <c r="S6" s="1191"/>
      <c r="T6" s="4068" t="s">
        <v>1306</v>
      </c>
    </row>
    <row r="7" spans="1:27" ht="124.5" customHeight="1">
      <c r="B7" s="4077"/>
      <c r="C7" s="4072"/>
      <c r="D7" s="4072"/>
      <c r="E7" s="4072"/>
      <c r="F7" s="4072"/>
      <c r="G7" s="4072"/>
      <c r="H7" s="4072"/>
      <c r="I7" s="4072"/>
      <c r="J7" s="1153" t="s">
        <v>1897</v>
      </c>
      <c r="K7" s="1154" t="s">
        <v>1898</v>
      </c>
      <c r="L7" s="1154" t="s">
        <v>1899</v>
      </c>
      <c r="M7" s="1154" t="s">
        <v>1900</v>
      </c>
      <c r="N7" s="1154" t="s">
        <v>1901</v>
      </c>
      <c r="O7" s="1154" t="s">
        <v>1902</v>
      </c>
      <c r="P7" s="1154" t="s">
        <v>1903</v>
      </c>
      <c r="Q7" s="1154" t="s">
        <v>1904</v>
      </c>
      <c r="R7" s="1139" t="s">
        <v>1905</v>
      </c>
      <c r="S7" s="1139" t="s">
        <v>1906</v>
      </c>
      <c r="T7" s="4069"/>
    </row>
    <row r="8" spans="1:27" s="2543" customFormat="1" ht="21" customHeight="1">
      <c r="A8" s="2537"/>
      <c r="B8" s="2538" t="s">
        <v>92</v>
      </c>
      <c r="C8" s="2539" t="s">
        <v>93</v>
      </c>
      <c r="D8" s="2539">
        <v>1</v>
      </c>
      <c r="E8" s="2539">
        <v>2</v>
      </c>
      <c r="F8" s="2539">
        <v>3</v>
      </c>
      <c r="G8" s="2539">
        <v>4</v>
      </c>
      <c r="H8" s="2539">
        <v>5</v>
      </c>
      <c r="I8" s="2540" t="s">
        <v>1907</v>
      </c>
      <c r="J8" s="2540">
        <v>7</v>
      </c>
      <c r="K8" s="2540">
        <v>8</v>
      </c>
      <c r="L8" s="2540">
        <v>9</v>
      </c>
      <c r="M8" s="2540">
        <v>10</v>
      </c>
      <c r="N8" s="2541">
        <v>11</v>
      </c>
      <c r="O8" s="2540">
        <v>12</v>
      </c>
      <c r="P8" s="2541">
        <v>13</v>
      </c>
      <c r="Q8" s="2540">
        <v>14</v>
      </c>
      <c r="R8" s="2540">
        <v>15</v>
      </c>
      <c r="S8" s="2540">
        <v>16</v>
      </c>
      <c r="T8" s="2542" t="s">
        <v>1908</v>
      </c>
    </row>
    <row r="9" spans="1:27" s="1140" customFormat="1" ht="49.15" customHeight="1">
      <c r="B9" s="2530" t="s">
        <v>1909</v>
      </c>
      <c r="C9" s="2531" t="s">
        <v>96</v>
      </c>
      <c r="D9" s="2532"/>
      <c r="E9" s="2533"/>
      <c r="F9" s="2533"/>
      <c r="G9" s="2533"/>
      <c r="H9" s="2533"/>
      <c r="I9" s="2533"/>
      <c r="J9" s="2533"/>
      <c r="K9" s="2534"/>
      <c r="L9" s="2535"/>
      <c r="M9" s="2535"/>
      <c r="N9" s="2535"/>
      <c r="O9" s="2535"/>
      <c r="P9" s="2535"/>
      <c r="Q9" s="2534"/>
      <c r="R9" s="2534"/>
      <c r="S9" s="2534"/>
      <c r="T9" s="2536"/>
      <c r="U9" s="1141"/>
      <c r="V9" s="1141"/>
      <c r="W9" s="1141"/>
      <c r="X9" s="1141"/>
      <c r="Y9" s="1141"/>
      <c r="Z9" s="1141"/>
      <c r="AA9" s="1141"/>
    </row>
    <row r="10" spans="1:27" s="1142" customFormat="1" ht="25.5" customHeight="1">
      <c r="B10" s="2895" t="s">
        <v>1910</v>
      </c>
      <c r="C10" s="2896" t="s">
        <v>98</v>
      </c>
      <c r="D10" s="2897"/>
      <c r="E10" s="2898"/>
      <c r="F10" s="2898"/>
      <c r="G10" s="2898"/>
      <c r="H10" s="2898"/>
      <c r="I10" s="2898"/>
      <c r="J10" s="2898"/>
      <c r="K10" s="2899"/>
      <c r="L10" s="2900"/>
      <c r="M10" s="2900"/>
      <c r="N10" s="2900"/>
      <c r="O10" s="2900"/>
      <c r="P10" s="2900"/>
      <c r="Q10" s="2899"/>
      <c r="R10" s="2899"/>
      <c r="S10" s="2899"/>
      <c r="T10" s="2901"/>
      <c r="U10" s="1143"/>
      <c r="V10" s="1143"/>
      <c r="W10" s="1143"/>
      <c r="X10" s="1143"/>
      <c r="Y10" s="1143"/>
      <c r="Z10" s="1143"/>
      <c r="AA10" s="1143"/>
    </row>
    <row r="11" spans="1:27" s="1142" customFormat="1" ht="30" customHeight="1">
      <c r="B11" s="2895" t="s">
        <v>1911</v>
      </c>
      <c r="C11" s="2896" t="s">
        <v>100</v>
      </c>
      <c r="D11" s="2897"/>
      <c r="E11" s="2898"/>
      <c r="F11" s="2898"/>
      <c r="G11" s="2898"/>
      <c r="H11" s="2898"/>
      <c r="I11" s="2898"/>
      <c r="J11" s="2898"/>
      <c r="K11" s="2899"/>
      <c r="L11" s="2900"/>
      <c r="M11" s="2900"/>
      <c r="N11" s="2900"/>
      <c r="O11" s="2900"/>
      <c r="P11" s="2900"/>
      <c r="Q11" s="2899"/>
      <c r="R11" s="2899"/>
      <c r="S11" s="2899"/>
      <c r="T11" s="2901"/>
      <c r="U11" s="1143"/>
      <c r="V11" s="1143"/>
      <c r="W11" s="1143"/>
      <c r="X11" s="1143"/>
      <c r="Y11" s="1143"/>
      <c r="Z11" s="1143"/>
      <c r="AA11" s="1143"/>
    </row>
    <row r="12" spans="1:27" s="1142" customFormat="1" ht="43.5" customHeight="1">
      <c r="B12" s="2895" t="s">
        <v>1912</v>
      </c>
      <c r="C12" s="2896" t="s">
        <v>102</v>
      </c>
      <c r="D12" s="2897"/>
      <c r="E12" s="2898"/>
      <c r="F12" s="2898"/>
      <c r="G12" s="2898"/>
      <c r="H12" s="2898"/>
      <c r="I12" s="2898"/>
      <c r="J12" s="2898"/>
      <c r="K12" s="2899"/>
      <c r="L12" s="2900"/>
      <c r="M12" s="2900"/>
      <c r="N12" s="2900"/>
      <c r="O12" s="2900"/>
      <c r="P12" s="2900"/>
      <c r="Q12" s="2899"/>
      <c r="R12" s="2899"/>
      <c r="S12" s="2899"/>
      <c r="T12" s="2901"/>
      <c r="U12" s="1143"/>
      <c r="V12" s="1143"/>
      <c r="W12" s="1143"/>
      <c r="X12" s="1143"/>
      <c r="Y12" s="1143"/>
      <c r="Z12" s="1143"/>
      <c r="AA12" s="1143"/>
    </row>
    <row r="13" spans="1:27" s="1142" customFormat="1" ht="30.75" customHeight="1">
      <c r="B13" s="2895" t="s">
        <v>1913</v>
      </c>
      <c r="C13" s="2896" t="s">
        <v>104</v>
      </c>
      <c r="D13" s="2897"/>
      <c r="E13" s="2898"/>
      <c r="F13" s="2898"/>
      <c r="G13" s="2898"/>
      <c r="H13" s="2898"/>
      <c r="I13" s="2898"/>
      <c r="J13" s="2898"/>
      <c r="K13" s="2899"/>
      <c r="L13" s="2900"/>
      <c r="M13" s="2900"/>
      <c r="N13" s="2900"/>
      <c r="O13" s="2900"/>
      <c r="P13" s="2900"/>
      <c r="Q13" s="2899"/>
      <c r="R13" s="2899"/>
      <c r="S13" s="2899"/>
      <c r="T13" s="2901"/>
      <c r="U13" s="1143"/>
      <c r="V13" s="1143"/>
      <c r="W13" s="1143"/>
      <c r="X13" s="1143"/>
      <c r="Y13" s="1143"/>
      <c r="Z13" s="1143"/>
      <c r="AA13" s="1143"/>
    </row>
    <row r="14" spans="1:27" s="1142" customFormat="1" ht="40.15" customHeight="1">
      <c r="B14" s="2895" t="s">
        <v>1914</v>
      </c>
      <c r="C14" s="2896" t="s">
        <v>107</v>
      </c>
      <c r="D14" s="2897"/>
      <c r="E14" s="2898"/>
      <c r="F14" s="2898"/>
      <c r="G14" s="2898"/>
      <c r="H14" s="2898"/>
      <c r="I14" s="2898"/>
      <c r="J14" s="2898"/>
      <c r="K14" s="2899"/>
      <c r="L14" s="2900"/>
      <c r="M14" s="2900"/>
      <c r="N14" s="2900"/>
      <c r="O14" s="2900"/>
      <c r="P14" s="2900"/>
      <c r="Q14" s="2899"/>
      <c r="R14" s="2899"/>
      <c r="S14" s="2899"/>
      <c r="T14" s="2901"/>
      <c r="U14" s="1144"/>
      <c r="V14" s="1143"/>
      <c r="W14" s="1143"/>
      <c r="X14" s="1143"/>
      <c r="Y14" s="1143"/>
      <c r="Z14" s="1143"/>
      <c r="AA14" s="1143"/>
    </row>
    <row r="15" spans="1:27" s="1142" customFormat="1" ht="29.25" customHeight="1">
      <c r="B15" s="2895" t="s">
        <v>1915</v>
      </c>
      <c r="C15" s="2896" t="s">
        <v>110</v>
      </c>
      <c r="D15" s="2897"/>
      <c r="E15" s="2898"/>
      <c r="F15" s="2898"/>
      <c r="G15" s="2898"/>
      <c r="H15" s="2898"/>
      <c r="I15" s="2898"/>
      <c r="J15" s="2898"/>
      <c r="K15" s="2899"/>
      <c r="L15" s="2900"/>
      <c r="M15" s="2900"/>
      <c r="N15" s="2900"/>
      <c r="O15" s="2900"/>
      <c r="P15" s="2900"/>
      <c r="Q15" s="2899"/>
      <c r="R15" s="2899"/>
      <c r="S15" s="2899"/>
      <c r="T15" s="2901"/>
      <c r="U15" s="1144"/>
      <c r="V15" s="1143"/>
      <c r="W15" s="1143"/>
      <c r="X15" s="1143"/>
      <c r="Y15" s="1143"/>
      <c r="Z15" s="1143"/>
      <c r="AA15" s="1143"/>
    </row>
    <row r="16" spans="1:27" s="1769" customFormat="1" ht="45.6" customHeight="1">
      <c r="B16" s="2902" t="s">
        <v>1916</v>
      </c>
      <c r="C16" s="2903" t="s">
        <v>112</v>
      </c>
      <c r="D16" s="2904"/>
      <c r="E16" s="2905"/>
      <c r="F16" s="2905"/>
      <c r="G16" s="2905"/>
      <c r="H16" s="2905"/>
      <c r="I16" s="2905"/>
      <c r="J16" s="2905"/>
      <c r="K16" s="2906"/>
      <c r="L16" s="2907"/>
      <c r="M16" s="2907"/>
      <c r="N16" s="2907"/>
      <c r="O16" s="2907"/>
      <c r="P16" s="2907"/>
      <c r="Q16" s="2906"/>
      <c r="R16" s="2906"/>
      <c r="S16" s="2906"/>
      <c r="T16" s="2908"/>
      <c r="U16" s="1768"/>
      <c r="V16" s="1768"/>
      <c r="W16" s="1768"/>
      <c r="X16" s="1768"/>
      <c r="Y16" s="1768"/>
      <c r="Z16" s="1768"/>
      <c r="AA16" s="1768"/>
    </row>
    <row r="17" spans="1:27" s="1142" customFormat="1" ht="27.75" customHeight="1">
      <c r="B17" s="2895" t="s">
        <v>1917</v>
      </c>
      <c r="C17" s="2896" t="s">
        <v>114</v>
      </c>
      <c r="D17" s="2897"/>
      <c r="E17" s="2898"/>
      <c r="F17" s="2898"/>
      <c r="G17" s="2898"/>
      <c r="H17" s="2898"/>
      <c r="I17" s="2898"/>
      <c r="J17" s="2898"/>
      <c r="K17" s="2899"/>
      <c r="L17" s="2900"/>
      <c r="M17" s="2900"/>
      <c r="N17" s="2900"/>
      <c r="O17" s="2900"/>
      <c r="P17" s="2900"/>
      <c r="Q17" s="2899"/>
      <c r="R17" s="2899"/>
      <c r="S17" s="2899"/>
      <c r="T17" s="2901"/>
      <c r="U17" s="1143"/>
      <c r="V17" s="1143"/>
      <c r="W17" s="1143"/>
      <c r="X17" s="1143"/>
      <c r="Y17" s="1143"/>
      <c r="Z17" s="1143"/>
      <c r="AA17" s="1143"/>
    </row>
    <row r="18" spans="1:27" s="1142" customFormat="1" ht="24.75" customHeight="1">
      <c r="A18" s="1145"/>
      <c r="B18" s="2895" t="s">
        <v>1918</v>
      </c>
      <c r="C18" s="2896">
        <v>10</v>
      </c>
      <c r="D18" s="2897"/>
      <c r="E18" s="2898"/>
      <c r="F18" s="2898"/>
      <c r="G18" s="2898"/>
      <c r="H18" s="2898"/>
      <c r="I18" s="2898"/>
      <c r="J18" s="2898"/>
      <c r="K18" s="2899"/>
      <c r="L18" s="2900"/>
      <c r="M18" s="2900"/>
      <c r="N18" s="2900"/>
      <c r="O18" s="2900"/>
      <c r="P18" s="2900"/>
      <c r="Q18" s="2899"/>
      <c r="R18" s="2899"/>
      <c r="S18" s="2899"/>
      <c r="T18" s="2901"/>
      <c r="U18" s="1143"/>
      <c r="V18" s="1143"/>
      <c r="W18" s="1143"/>
      <c r="X18" s="1143"/>
      <c r="Y18" s="1143"/>
      <c r="Z18" s="1143"/>
      <c r="AA18" s="1143"/>
    </row>
    <row r="19" spans="1:27" s="1142" customFormat="1" ht="42.75" customHeight="1">
      <c r="B19" s="2895" t="s">
        <v>1919</v>
      </c>
      <c r="C19" s="2896">
        <v>11</v>
      </c>
      <c r="D19" s="2897"/>
      <c r="E19" s="2898"/>
      <c r="F19" s="2898"/>
      <c r="G19" s="2898"/>
      <c r="H19" s="2898"/>
      <c r="I19" s="2898"/>
      <c r="J19" s="2898"/>
      <c r="K19" s="2899"/>
      <c r="L19" s="2900"/>
      <c r="M19" s="2900"/>
      <c r="N19" s="2900"/>
      <c r="O19" s="2900"/>
      <c r="P19" s="2900"/>
      <c r="Q19" s="2899"/>
      <c r="R19" s="2899"/>
      <c r="S19" s="2899"/>
      <c r="T19" s="2901"/>
      <c r="U19" s="1143"/>
      <c r="V19" s="1143"/>
      <c r="W19" s="1143"/>
      <c r="X19" s="1143"/>
      <c r="Y19" s="1143"/>
      <c r="Z19" s="1143"/>
      <c r="AA19" s="1143"/>
    </row>
    <row r="20" spans="1:27" s="1142" customFormat="1" ht="26.25" customHeight="1">
      <c r="B20" s="2895" t="s">
        <v>1920</v>
      </c>
      <c r="C20" s="2896">
        <v>12</v>
      </c>
      <c r="D20" s="2897"/>
      <c r="E20" s="2898"/>
      <c r="F20" s="2898"/>
      <c r="G20" s="2898"/>
      <c r="H20" s="2898"/>
      <c r="I20" s="2898"/>
      <c r="J20" s="2898"/>
      <c r="K20" s="2899"/>
      <c r="L20" s="2900"/>
      <c r="M20" s="2900"/>
      <c r="N20" s="2900"/>
      <c r="O20" s="2900"/>
      <c r="P20" s="2900"/>
      <c r="Q20" s="2899"/>
      <c r="R20" s="2899"/>
      <c r="S20" s="2899"/>
      <c r="T20" s="2901"/>
      <c r="U20" s="1143"/>
      <c r="V20" s="1143"/>
      <c r="W20" s="1143"/>
      <c r="X20" s="1143"/>
      <c r="Y20" s="1143"/>
      <c r="Z20" s="1143"/>
      <c r="AA20" s="1143"/>
    </row>
    <row r="21" spans="1:27" s="1142" customFormat="1" ht="31.5" customHeight="1">
      <c r="B21" s="2909" t="s">
        <v>1921</v>
      </c>
      <c r="C21" s="2896">
        <v>13</v>
      </c>
      <c r="D21" s="2910"/>
      <c r="E21" s="2898"/>
      <c r="F21" s="2898"/>
      <c r="G21" s="2898"/>
      <c r="H21" s="2898"/>
      <c r="I21" s="2898"/>
      <c r="J21" s="2898"/>
      <c r="K21" s="2899"/>
      <c r="L21" s="2900"/>
      <c r="M21" s="2900"/>
      <c r="N21" s="2900"/>
      <c r="O21" s="2900"/>
      <c r="P21" s="2900"/>
      <c r="Q21" s="2899"/>
      <c r="R21" s="2899"/>
      <c r="S21" s="2899"/>
      <c r="T21" s="2901"/>
      <c r="U21" s="1144"/>
      <c r="V21" s="1143"/>
      <c r="W21" s="1143"/>
      <c r="X21" s="1143"/>
      <c r="Y21" s="1143"/>
      <c r="Z21" s="1143"/>
      <c r="AA21" s="1143"/>
    </row>
    <row r="22" spans="1:27" s="1142" customFormat="1" ht="27" customHeight="1">
      <c r="B22" s="2909" t="s">
        <v>1922</v>
      </c>
      <c r="C22" s="2896">
        <v>14</v>
      </c>
      <c r="D22" s="2910"/>
      <c r="E22" s="2898"/>
      <c r="F22" s="2898"/>
      <c r="G22" s="2898"/>
      <c r="H22" s="2898"/>
      <c r="I22" s="2898"/>
      <c r="J22" s="2898"/>
      <c r="K22" s="2899"/>
      <c r="L22" s="2900"/>
      <c r="M22" s="2900"/>
      <c r="N22" s="2900"/>
      <c r="O22" s="2900"/>
      <c r="P22" s="2900"/>
      <c r="Q22" s="2899"/>
      <c r="R22" s="2899"/>
      <c r="S22" s="2899"/>
      <c r="T22" s="2901"/>
      <c r="U22" s="1143"/>
      <c r="V22" s="1143"/>
      <c r="W22" s="1143"/>
      <c r="X22" s="1143"/>
      <c r="Y22" s="1143"/>
      <c r="Z22" s="1143"/>
      <c r="AA22" s="1143"/>
    </row>
    <row r="23" spans="1:27" s="1142" customFormat="1" ht="27" customHeight="1">
      <c r="B23" s="2895" t="s">
        <v>1923</v>
      </c>
      <c r="C23" s="2896">
        <v>15</v>
      </c>
      <c r="D23" s="2897"/>
      <c r="E23" s="2898"/>
      <c r="F23" s="2898"/>
      <c r="G23" s="2898"/>
      <c r="H23" s="2898"/>
      <c r="I23" s="2898"/>
      <c r="J23" s="2898"/>
      <c r="K23" s="2899"/>
      <c r="L23" s="2900"/>
      <c r="M23" s="2900"/>
      <c r="N23" s="2900"/>
      <c r="O23" s="2900"/>
      <c r="P23" s="2900"/>
      <c r="Q23" s="2899"/>
      <c r="R23" s="2899"/>
      <c r="S23" s="2899"/>
      <c r="T23" s="2901"/>
      <c r="U23" s="1143"/>
      <c r="V23" s="1143"/>
      <c r="W23" s="1143"/>
      <c r="X23" s="1143"/>
      <c r="Y23" s="1143"/>
      <c r="Z23" s="1143"/>
      <c r="AA23" s="1143"/>
    </row>
    <row r="24" spans="1:27" s="1142" customFormat="1" ht="24" customHeight="1">
      <c r="B24" s="2923" t="s">
        <v>1924</v>
      </c>
      <c r="C24" s="2924">
        <v>16</v>
      </c>
      <c r="D24" s="2925"/>
      <c r="E24" s="2926"/>
      <c r="F24" s="2926"/>
      <c r="G24" s="2926"/>
      <c r="H24" s="2926"/>
      <c r="I24" s="2926"/>
      <c r="J24" s="2926"/>
      <c r="K24" s="2927"/>
      <c r="L24" s="2928"/>
      <c r="M24" s="2928"/>
      <c r="N24" s="2928"/>
      <c r="O24" s="2928"/>
      <c r="P24" s="2928"/>
      <c r="Q24" s="2927"/>
      <c r="R24" s="2927"/>
      <c r="S24" s="2927"/>
      <c r="T24" s="2929"/>
      <c r="U24" s="1143"/>
      <c r="V24" s="1143"/>
      <c r="W24" s="1143"/>
      <c r="X24" s="1143"/>
      <c r="Y24" s="1143"/>
      <c r="Z24" s="1143"/>
      <c r="AA24" s="1143"/>
    </row>
    <row r="25" spans="1:27" s="1142" customFormat="1" ht="17.25" customHeight="1">
      <c r="B25" s="2930" t="s">
        <v>1925</v>
      </c>
      <c r="C25" s="2531">
        <v>17</v>
      </c>
      <c r="D25" s="2931"/>
      <c r="E25" s="2533"/>
      <c r="F25" s="2533"/>
      <c r="G25" s="2533"/>
      <c r="H25" s="2533"/>
      <c r="I25" s="2533"/>
      <c r="J25" s="2533"/>
      <c r="K25" s="2534"/>
      <c r="L25" s="2535"/>
      <c r="M25" s="2535"/>
      <c r="N25" s="2535"/>
      <c r="O25" s="2535"/>
      <c r="P25" s="2535"/>
      <c r="Q25" s="2534"/>
      <c r="R25" s="2534"/>
      <c r="S25" s="2534"/>
      <c r="T25" s="2536"/>
      <c r="U25" s="1143"/>
      <c r="V25" s="1143"/>
      <c r="W25" s="1143"/>
      <c r="X25" s="1143"/>
      <c r="Y25" s="1143"/>
      <c r="Z25" s="1143"/>
      <c r="AA25" s="1143"/>
    </row>
    <row r="26" spans="1:27" s="1142" customFormat="1" ht="19.5" customHeight="1">
      <c r="B26" s="2895" t="s">
        <v>1926</v>
      </c>
      <c r="C26" s="2896">
        <v>18</v>
      </c>
      <c r="D26" s="2897"/>
      <c r="E26" s="2898"/>
      <c r="F26" s="2898"/>
      <c r="G26" s="2898"/>
      <c r="H26" s="2898"/>
      <c r="I26" s="2898"/>
      <c r="J26" s="2898"/>
      <c r="K26" s="2899"/>
      <c r="L26" s="2900"/>
      <c r="M26" s="2900"/>
      <c r="N26" s="2900"/>
      <c r="O26" s="2900"/>
      <c r="P26" s="2900"/>
      <c r="Q26" s="2899"/>
      <c r="R26" s="2899"/>
      <c r="S26" s="2899"/>
      <c r="T26" s="2901"/>
      <c r="U26" s="1143"/>
      <c r="V26" s="1143"/>
      <c r="W26" s="1143"/>
      <c r="X26" s="1143"/>
      <c r="Y26" s="1143"/>
      <c r="Z26" s="1143"/>
      <c r="AA26" s="1143"/>
    </row>
    <row r="27" spans="1:27" s="1142" customFormat="1" ht="41.25" customHeight="1">
      <c r="B27" s="2895" t="s">
        <v>1927</v>
      </c>
      <c r="C27" s="2896">
        <v>19</v>
      </c>
      <c r="D27" s="2897"/>
      <c r="E27" s="2898"/>
      <c r="F27" s="2898"/>
      <c r="G27" s="2898"/>
      <c r="H27" s="2898"/>
      <c r="I27" s="2898"/>
      <c r="J27" s="2898"/>
      <c r="K27" s="2899"/>
      <c r="L27" s="2900"/>
      <c r="M27" s="2900"/>
      <c r="N27" s="2900"/>
      <c r="O27" s="2900"/>
      <c r="P27" s="2900"/>
      <c r="Q27" s="2899"/>
      <c r="R27" s="2899"/>
      <c r="S27" s="2899"/>
      <c r="T27" s="2901"/>
      <c r="U27" s="1143"/>
      <c r="V27" s="1143"/>
      <c r="W27" s="1143"/>
      <c r="X27" s="1143"/>
      <c r="Y27" s="1143"/>
      <c r="Z27" s="1143"/>
      <c r="AA27" s="1143"/>
    </row>
    <row r="28" spans="1:27" s="1142" customFormat="1" ht="51">
      <c r="B28" s="2895" t="s">
        <v>1928</v>
      </c>
      <c r="C28" s="2896">
        <v>20</v>
      </c>
      <c r="D28" s="2897"/>
      <c r="E28" s="2898"/>
      <c r="F28" s="2898"/>
      <c r="G28" s="2898"/>
      <c r="H28" s="2898"/>
      <c r="I28" s="2898"/>
      <c r="J28" s="2898"/>
      <c r="K28" s="2899"/>
      <c r="L28" s="2900"/>
      <c r="M28" s="2900"/>
      <c r="N28" s="2900"/>
      <c r="O28" s="2900"/>
      <c r="P28" s="2900"/>
      <c r="Q28" s="2899"/>
      <c r="R28" s="2899"/>
      <c r="S28" s="2899"/>
      <c r="T28" s="2901"/>
      <c r="U28" s="1143"/>
      <c r="V28" s="1143"/>
      <c r="W28" s="1143"/>
      <c r="X28" s="1143"/>
      <c r="Y28" s="1143"/>
      <c r="Z28" s="1143"/>
      <c r="AA28" s="1143"/>
    </row>
    <row r="29" spans="1:27" s="1142" customFormat="1" ht="67.5" customHeight="1">
      <c r="B29" s="2902" t="s">
        <v>1929</v>
      </c>
      <c r="C29" s="2903">
        <v>21</v>
      </c>
      <c r="D29" s="2897"/>
      <c r="E29" s="2898"/>
      <c r="F29" s="2898"/>
      <c r="G29" s="2898"/>
      <c r="H29" s="2898"/>
      <c r="I29" s="2898"/>
      <c r="J29" s="2898"/>
      <c r="K29" s="2899"/>
      <c r="L29" s="2900"/>
      <c r="M29" s="2900"/>
      <c r="N29" s="2900"/>
      <c r="O29" s="2900"/>
      <c r="P29" s="2900"/>
      <c r="Q29" s="2899"/>
      <c r="R29" s="2899"/>
      <c r="S29" s="2899"/>
      <c r="T29" s="2901"/>
      <c r="U29" s="1143"/>
      <c r="V29" s="1143"/>
      <c r="W29" s="1143"/>
      <c r="X29" s="1143"/>
      <c r="Y29" s="1143"/>
      <c r="Z29" s="1143"/>
      <c r="AA29" s="1143"/>
    </row>
    <row r="30" spans="1:27" s="1142" customFormat="1" ht="25.5">
      <c r="B30" s="2902" t="s">
        <v>1930</v>
      </c>
      <c r="C30" s="2911" t="s">
        <v>120</v>
      </c>
      <c r="D30" s="2897"/>
      <c r="E30" s="2898"/>
      <c r="F30" s="2898"/>
      <c r="G30" s="2898"/>
      <c r="H30" s="2898"/>
      <c r="I30" s="2898"/>
      <c r="J30" s="2898"/>
      <c r="K30" s="2899"/>
      <c r="L30" s="2900"/>
      <c r="M30" s="2900"/>
      <c r="N30" s="2900"/>
      <c r="O30" s="2900"/>
      <c r="P30" s="2900"/>
      <c r="Q30" s="2899"/>
      <c r="R30" s="2899"/>
      <c r="S30" s="2899"/>
      <c r="T30" s="2901"/>
      <c r="U30" s="1143"/>
      <c r="V30" s="1143"/>
      <c r="W30" s="1143"/>
      <c r="X30" s="1143"/>
      <c r="Y30" s="1143"/>
      <c r="Z30" s="1143"/>
      <c r="AA30" s="1143"/>
    </row>
    <row r="31" spans="1:27" s="1142" customFormat="1" ht="25.5">
      <c r="B31" s="2902" t="s">
        <v>1931</v>
      </c>
      <c r="C31" s="2911" t="s">
        <v>371</v>
      </c>
      <c r="D31" s="2897"/>
      <c r="E31" s="2898"/>
      <c r="F31" s="2898"/>
      <c r="G31" s="2898"/>
      <c r="H31" s="2898"/>
      <c r="I31" s="2898"/>
      <c r="J31" s="2898"/>
      <c r="K31" s="2899"/>
      <c r="L31" s="2900"/>
      <c r="M31" s="2900"/>
      <c r="N31" s="2900"/>
      <c r="O31" s="2900"/>
      <c r="P31" s="2900"/>
      <c r="Q31" s="2899"/>
      <c r="R31" s="2899"/>
      <c r="S31" s="2899"/>
      <c r="T31" s="2901"/>
      <c r="U31" s="1143"/>
      <c r="V31" s="1143"/>
      <c r="W31" s="1143"/>
      <c r="X31" s="1143"/>
      <c r="Y31" s="1143"/>
      <c r="Z31" s="1143"/>
      <c r="AA31" s="1143"/>
    </row>
    <row r="32" spans="1:27" s="1142" customFormat="1" ht="38.25">
      <c r="B32" s="2902" t="s">
        <v>1932</v>
      </c>
      <c r="C32" s="2911" t="s">
        <v>372</v>
      </c>
      <c r="D32" s="2897"/>
      <c r="E32" s="2898"/>
      <c r="F32" s="2898"/>
      <c r="G32" s="2898"/>
      <c r="H32" s="2898"/>
      <c r="I32" s="2898"/>
      <c r="J32" s="2898"/>
      <c r="K32" s="2899"/>
      <c r="L32" s="2900"/>
      <c r="M32" s="2900"/>
      <c r="N32" s="2900"/>
      <c r="O32" s="2900"/>
      <c r="P32" s="2900"/>
      <c r="Q32" s="2899"/>
      <c r="R32" s="2899"/>
      <c r="S32" s="2899"/>
      <c r="T32" s="2901"/>
      <c r="U32" s="1143"/>
      <c r="V32" s="1143"/>
      <c r="W32" s="1143"/>
      <c r="X32" s="1143"/>
      <c r="Y32" s="1143"/>
      <c r="Z32" s="1143"/>
      <c r="AA32" s="1143"/>
    </row>
    <row r="33" spans="2:27" s="1142" customFormat="1" ht="25.5">
      <c r="B33" s="2902" t="s">
        <v>1933</v>
      </c>
      <c r="C33" s="2911" t="s">
        <v>373</v>
      </c>
      <c r="D33" s="2897"/>
      <c r="E33" s="2898"/>
      <c r="F33" s="2898"/>
      <c r="G33" s="2898"/>
      <c r="H33" s="2898"/>
      <c r="I33" s="2898"/>
      <c r="J33" s="2898"/>
      <c r="K33" s="2899"/>
      <c r="L33" s="2900"/>
      <c r="M33" s="2900"/>
      <c r="N33" s="2900"/>
      <c r="O33" s="2900"/>
      <c r="P33" s="2900"/>
      <c r="Q33" s="2899"/>
      <c r="R33" s="2899"/>
      <c r="S33" s="2899"/>
      <c r="T33" s="2901"/>
      <c r="U33" s="1143"/>
      <c r="V33" s="1143"/>
      <c r="W33" s="1143"/>
      <c r="X33" s="1143"/>
      <c r="Y33" s="1143"/>
      <c r="Z33" s="1143"/>
      <c r="AA33" s="1143"/>
    </row>
    <row r="34" spans="2:27" s="1142" customFormat="1" ht="61.15" customHeight="1">
      <c r="B34" s="2902" t="s">
        <v>1934</v>
      </c>
      <c r="C34" s="2911" t="s">
        <v>374</v>
      </c>
      <c r="D34" s="2897"/>
      <c r="E34" s="2898"/>
      <c r="F34" s="2898"/>
      <c r="G34" s="2898"/>
      <c r="H34" s="2898"/>
      <c r="I34" s="2898"/>
      <c r="J34" s="2898"/>
      <c r="K34" s="2899"/>
      <c r="L34" s="2900"/>
      <c r="M34" s="2900"/>
      <c r="N34" s="2900"/>
      <c r="O34" s="2900"/>
      <c r="P34" s="2900"/>
      <c r="Q34" s="2899"/>
      <c r="R34" s="2899"/>
      <c r="S34" s="2899"/>
      <c r="T34" s="2901"/>
      <c r="U34" s="1143"/>
      <c r="V34" s="1143"/>
      <c r="W34" s="1143"/>
      <c r="X34" s="1143"/>
      <c r="Y34" s="1143"/>
      <c r="Z34" s="1143"/>
      <c r="AA34" s="1143"/>
    </row>
    <row r="35" spans="2:27" s="1142" customFormat="1" ht="39.6" customHeight="1">
      <c r="B35" s="2902" t="s">
        <v>1935</v>
      </c>
      <c r="C35" s="2911" t="s">
        <v>1936</v>
      </c>
      <c r="D35" s="2897"/>
      <c r="E35" s="2898"/>
      <c r="F35" s="2898"/>
      <c r="G35" s="2898"/>
      <c r="H35" s="2898"/>
      <c r="I35" s="2898"/>
      <c r="J35" s="2898"/>
      <c r="K35" s="2899"/>
      <c r="L35" s="2900"/>
      <c r="M35" s="2900"/>
      <c r="N35" s="2900"/>
      <c r="O35" s="2900"/>
      <c r="P35" s="2900"/>
      <c r="Q35" s="2899"/>
      <c r="R35" s="2899"/>
      <c r="S35" s="2899"/>
      <c r="T35" s="2901"/>
      <c r="U35" s="1143"/>
      <c r="V35" s="1143"/>
      <c r="W35" s="1143"/>
      <c r="X35" s="1143"/>
      <c r="Y35" s="1143"/>
      <c r="Z35" s="1143"/>
      <c r="AA35" s="1143"/>
    </row>
    <row r="36" spans="2:27" s="1142" customFormat="1" ht="43.9" customHeight="1">
      <c r="B36" s="2902" t="s">
        <v>1937</v>
      </c>
      <c r="C36" s="2911" t="s">
        <v>1938</v>
      </c>
      <c r="D36" s="2897"/>
      <c r="E36" s="2898"/>
      <c r="F36" s="2898"/>
      <c r="G36" s="2898"/>
      <c r="H36" s="2898"/>
      <c r="I36" s="2898"/>
      <c r="J36" s="2898"/>
      <c r="K36" s="2899"/>
      <c r="L36" s="2900"/>
      <c r="M36" s="2900"/>
      <c r="N36" s="2900"/>
      <c r="O36" s="2900"/>
      <c r="P36" s="2900"/>
      <c r="Q36" s="2899"/>
      <c r="R36" s="2899"/>
      <c r="S36" s="2899"/>
      <c r="T36" s="2901"/>
      <c r="U36" s="1143"/>
      <c r="V36" s="1143"/>
      <c r="W36" s="1143"/>
      <c r="X36" s="1143"/>
      <c r="Y36" s="1143"/>
      <c r="Z36" s="1143"/>
      <c r="AA36" s="1143"/>
    </row>
    <row r="37" spans="2:27" s="1142" customFormat="1" ht="51.6" customHeight="1">
      <c r="B37" s="2902" t="s">
        <v>1939</v>
      </c>
      <c r="C37" s="2911" t="s">
        <v>1940</v>
      </c>
      <c r="D37" s="2897"/>
      <c r="E37" s="2898"/>
      <c r="F37" s="2898"/>
      <c r="G37" s="2898"/>
      <c r="H37" s="2898"/>
      <c r="I37" s="2898"/>
      <c r="J37" s="2898"/>
      <c r="K37" s="2899"/>
      <c r="L37" s="2900"/>
      <c r="M37" s="2900"/>
      <c r="N37" s="2900"/>
      <c r="O37" s="2900"/>
      <c r="P37" s="2900"/>
      <c r="Q37" s="2899"/>
      <c r="R37" s="2899"/>
      <c r="S37" s="2899"/>
      <c r="T37" s="2901"/>
      <c r="U37" s="1143"/>
      <c r="V37" s="1143"/>
      <c r="W37" s="1143"/>
      <c r="X37" s="1143"/>
      <c r="Y37" s="1143"/>
      <c r="Z37" s="1143"/>
      <c r="AA37" s="1143"/>
    </row>
    <row r="38" spans="2:27" s="1142" customFormat="1" ht="28.5" customHeight="1">
      <c r="B38" s="2923" t="s">
        <v>1941</v>
      </c>
      <c r="C38" s="2932" t="s">
        <v>1942</v>
      </c>
      <c r="D38" s="2925"/>
      <c r="E38" s="2926"/>
      <c r="F38" s="2926"/>
      <c r="G38" s="2926"/>
      <c r="H38" s="2926"/>
      <c r="I38" s="2926"/>
      <c r="J38" s="2926"/>
      <c r="K38" s="2927"/>
      <c r="L38" s="2928"/>
      <c r="M38" s="2928"/>
      <c r="N38" s="2928"/>
      <c r="O38" s="2928"/>
      <c r="P38" s="2928"/>
      <c r="Q38" s="2927"/>
      <c r="R38" s="2927"/>
      <c r="S38" s="2927"/>
      <c r="T38" s="2929"/>
      <c r="U38" s="1143"/>
      <c r="V38" s="1143"/>
      <c r="W38" s="1143"/>
      <c r="X38" s="1143"/>
      <c r="Y38" s="1143"/>
      <c r="Z38" s="1143"/>
      <c r="AA38" s="1143"/>
    </row>
    <row r="39" spans="2:27" s="1142" customFormat="1" ht="40.15" customHeight="1">
      <c r="B39" s="2930" t="s">
        <v>1943</v>
      </c>
      <c r="C39" s="2933">
        <v>22</v>
      </c>
      <c r="D39" s="2931"/>
      <c r="E39" s="2533"/>
      <c r="F39" s="2533"/>
      <c r="G39" s="2533"/>
      <c r="H39" s="2533"/>
      <c r="I39" s="2533"/>
      <c r="J39" s="2533"/>
      <c r="K39" s="2534"/>
      <c r="L39" s="2535"/>
      <c r="M39" s="2535"/>
      <c r="N39" s="2535"/>
      <c r="O39" s="2535"/>
      <c r="P39" s="2535"/>
      <c r="Q39" s="2534"/>
      <c r="R39" s="2534"/>
      <c r="S39" s="2534"/>
      <c r="T39" s="2536"/>
      <c r="U39" s="1143"/>
      <c r="V39" s="1143"/>
      <c r="W39" s="1143"/>
      <c r="X39" s="1143"/>
      <c r="Y39" s="1143"/>
      <c r="Z39" s="1143"/>
      <c r="AA39" s="1143"/>
    </row>
    <row r="40" spans="2:27" s="1142" customFormat="1" ht="40.5" customHeight="1">
      <c r="B40" s="2895" t="s">
        <v>1944</v>
      </c>
      <c r="C40" s="2912" t="s">
        <v>377</v>
      </c>
      <c r="D40" s="2897"/>
      <c r="E40" s="2898"/>
      <c r="F40" s="2898"/>
      <c r="G40" s="2898"/>
      <c r="H40" s="2898"/>
      <c r="I40" s="2898"/>
      <c r="J40" s="2898"/>
      <c r="K40" s="2899"/>
      <c r="L40" s="2900"/>
      <c r="M40" s="2900"/>
      <c r="N40" s="2900"/>
      <c r="O40" s="2900"/>
      <c r="P40" s="2900"/>
      <c r="Q40" s="2899"/>
      <c r="R40" s="2899"/>
      <c r="S40" s="2899"/>
      <c r="T40" s="2901"/>
      <c r="U40" s="1143"/>
      <c r="V40" s="1143"/>
      <c r="W40" s="1143"/>
      <c r="X40" s="1143"/>
      <c r="Y40" s="1143"/>
      <c r="Z40" s="1143"/>
      <c r="AA40" s="1143"/>
    </row>
    <row r="41" spans="2:27" s="1142" customFormat="1" ht="51.75" customHeight="1">
      <c r="B41" s="2895" t="s">
        <v>1945</v>
      </c>
      <c r="C41" s="2912" t="s">
        <v>379</v>
      </c>
      <c r="D41" s="2897"/>
      <c r="E41" s="2898"/>
      <c r="F41" s="2898"/>
      <c r="G41" s="2898"/>
      <c r="H41" s="2898"/>
      <c r="I41" s="2898"/>
      <c r="J41" s="2898"/>
      <c r="K41" s="2899"/>
      <c r="L41" s="2900"/>
      <c r="M41" s="2900"/>
      <c r="N41" s="2900"/>
      <c r="O41" s="2900"/>
      <c r="P41" s="2900"/>
      <c r="Q41" s="2899"/>
      <c r="R41" s="2899"/>
      <c r="S41" s="2899"/>
      <c r="T41" s="2901"/>
      <c r="U41" s="1143"/>
      <c r="V41" s="1143"/>
      <c r="W41" s="1143"/>
      <c r="X41" s="1143"/>
      <c r="Y41" s="1143"/>
      <c r="Z41" s="1143"/>
      <c r="AA41" s="1143"/>
    </row>
    <row r="42" spans="2:27" s="1142" customFormat="1" ht="50.45" customHeight="1">
      <c r="B42" s="2895" t="s">
        <v>1946</v>
      </c>
      <c r="C42" s="2912" t="s">
        <v>380</v>
      </c>
      <c r="D42" s="2897"/>
      <c r="E42" s="2898"/>
      <c r="F42" s="2898"/>
      <c r="G42" s="2898"/>
      <c r="H42" s="2898"/>
      <c r="I42" s="2898"/>
      <c r="J42" s="2898"/>
      <c r="K42" s="2899"/>
      <c r="L42" s="2900"/>
      <c r="M42" s="2900"/>
      <c r="N42" s="2900"/>
      <c r="O42" s="2900"/>
      <c r="P42" s="2900"/>
      <c r="Q42" s="2899"/>
      <c r="R42" s="2899"/>
      <c r="S42" s="2899"/>
      <c r="T42" s="2901"/>
      <c r="U42" s="1143"/>
      <c r="V42" s="1143"/>
      <c r="W42" s="1143"/>
      <c r="X42" s="1143"/>
      <c r="Y42" s="1143"/>
      <c r="Z42" s="1143"/>
      <c r="AA42" s="1143"/>
    </row>
    <row r="43" spans="2:27" s="1142" customFormat="1" ht="50.45" customHeight="1">
      <c r="B43" s="2895" t="s">
        <v>1947</v>
      </c>
      <c r="C43" s="2912" t="s">
        <v>381</v>
      </c>
      <c r="D43" s="2897"/>
      <c r="E43" s="2898"/>
      <c r="F43" s="2898"/>
      <c r="G43" s="2898"/>
      <c r="H43" s="2898"/>
      <c r="I43" s="2898"/>
      <c r="J43" s="2898"/>
      <c r="K43" s="2899"/>
      <c r="L43" s="2900"/>
      <c r="M43" s="2900"/>
      <c r="N43" s="2900"/>
      <c r="O43" s="2900"/>
      <c r="P43" s="2900"/>
      <c r="Q43" s="2899"/>
      <c r="R43" s="2899"/>
      <c r="S43" s="2899"/>
      <c r="T43" s="2901"/>
      <c r="U43" s="1143"/>
      <c r="V43" s="1143"/>
      <c r="W43" s="1143"/>
      <c r="X43" s="1143"/>
      <c r="Y43" s="1143"/>
      <c r="Z43" s="1143"/>
      <c r="AA43" s="1143"/>
    </row>
    <row r="44" spans="2:27" s="1142" customFormat="1" ht="39.6" customHeight="1">
      <c r="B44" s="2895" t="s">
        <v>1948</v>
      </c>
      <c r="C44" s="2912" t="s">
        <v>383</v>
      </c>
      <c r="D44" s="2897"/>
      <c r="E44" s="2898"/>
      <c r="F44" s="2898"/>
      <c r="G44" s="2898"/>
      <c r="H44" s="2898"/>
      <c r="I44" s="2898"/>
      <c r="J44" s="2898"/>
      <c r="K44" s="2899"/>
      <c r="L44" s="2900"/>
      <c r="M44" s="2900"/>
      <c r="N44" s="2900"/>
      <c r="O44" s="2900"/>
      <c r="P44" s="2900"/>
      <c r="Q44" s="2899"/>
      <c r="R44" s="2899"/>
      <c r="S44" s="2899"/>
      <c r="T44" s="2901"/>
      <c r="U44" s="1143"/>
      <c r="V44" s="1143"/>
      <c r="W44" s="1143"/>
      <c r="X44" s="1143"/>
      <c r="Y44" s="1143"/>
      <c r="Z44" s="1143"/>
      <c r="AA44" s="1143"/>
    </row>
    <row r="45" spans="2:27" s="1142" customFormat="1" ht="28.5" customHeight="1">
      <c r="B45" s="2895" t="s">
        <v>1949</v>
      </c>
      <c r="C45" s="2912" t="s">
        <v>386</v>
      </c>
      <c r="D45" s="2897"/>
      <c r="E45" s="2898"/>
      <c r="F45" s="2898"/>
      <c r="G45" s="2898"/>
      <c r="H45" s="2898"/>
      <c r="I45" s="2898"/>
      <c r="J45" s="2898"/>
      <c r="K45" s="2899"/>
      <c r="L45" s="2900"/>
      <c r="M45" s="2900"/>
      <c r="N45" s="2900"/>
      <c r="O45" s="2900"/>
      <c r="P45" s="2900"/>
      <c r="Q45" s="2899"/>
      <c r="R45" s="2899"/>
      <c r="S45" s="2899"/>
      <c r="T45" s="2901"/>
      <c r="U45" s="1143"/>
      <c r="V45" s="1143"/>
      <c r="W45" s="1143"/>
      <c r="X45" s="1143"/>
      <c r="Y45" s="1143"/>
      <c r="Z45" s="1143"/>
      <c r="AA45" s="1143"/>
    </row>
    <row r="46" spans="2:27" s="1142" customFormat="1" ht="50.45" customHeight="1">
      <c r="B46" s="2895" t="s">
        <v>1950</v>
      </c>
      <c r="C46" s="2912" t="s">
        <v>387</v>
      </c>
      <c r="D46" s="2897"/>
      <c r="E46" s="2898"/>
      <c r="F46" s="2898"/>
      <c r="G46" s="2898"/>
      <c r="H46" s="2898"/>
      <c r="I46" s="2898"/>
      <c r="J46" s="2898"/>
      <c r="K46" s="2899"/>
      <c r="L46" s="2900"/>
      <c r="M46" s="2900"/>
      <c r="N46" s="2900"/>
      <c r="O46" s="2900"/>
      <c r="P46" s="2900"/>
      <c r="Q46" s="2899"/>
      <c r="R46" s="2899"/>
      <c r="S46" s="2899"/>
      <c r="T46" s="2901"/>
      <c r="U46" s="1143"/>
      <c r="V46" s="1143"/>
      <c r="W46" s="1143"/>
      <c r="X46" s="1143"/>
      <c r="Y46" s="1143"/>
      <c r="Z46" s="1143"/>
      <c r="AA46" s="1143"/>
    </row>
    <row r="47" spans="2:27" s="1142" customFormat="1" ht="69.599999999999994" customHeight="1">
      <c r="B47" s="2895" t="s">
        <v>1951</v>
      </c>
      <c r="C47" s="2912">
        <v>30</v>
      </c>
      <c r="D47" s="2897"/>
      <c r="E47" s="2898"/>
      <c r="F47" s="2898"/>
      <c r="G47" s="2898"/>
      <c r="H47" s="2898"/>
      <c r="I47" s="2898"/>
      <c r="J47" s="2898"/>
      <c r="K47" s="2899"/>
      <c r="L47" s="2900"/>
      <c r="M47" s="2900"/>
      <c r="N47" s="2900"/>
      <c r="O47" s="2900"/>
      <c r="P47" s="2900"/>
      <c r="Q47" s="2899"/>
      <c r="R47" s="2899"/>
      <c r="S47" s="2899"/>
      <c r="T47" s="2901"/>
      <c r="U47" s="1143"/>
      <c r="V47" s="1143"/>
      <c r="W47" s="1143"/>
      <c r="X47" s="1143"/>
      <c r="Y47" s="1143"/>
      <c r="Z47" s="1143"/>
      <c r="AA47" s="1143"/>
    </row>
    <row r="48" spans="2:27" s="1769" customFormat="1" ht="27" customHeight="1">
      <c r="B48" s="2902" t="s">
        <v>1952</v>
      </c>
      <c r="C48" s="2912" t="s">
        <v>763</v>
      </c>
      <c r="D48" s="2913"/>
      <c r="E48" s="2914"/>
      <c r="F48" s="2905"/>
      <c r="G48" s="2905"/>
      <c r="H48" s="2905"/>
      <c r="I48" s="2915"/>
      <c r="J48" s="2905"/>
      <c r="K48" s="2906"/>
      <c r="L48" s="2907"/>
      <c r="M48" s="2907"/>
      <c r="N48" s="2907"/>
      <c r="O48" s="2907"/>
      <c r="P48" s="2907"/>
      <c r="Q48" s="2916"/>
      <c r="R48" s="2906"/>
      <c r="S48" s="2906"/>
      <c r="T48" s="2917"/>
      <c r="U48" s="1768"/>
      <c r="V48" s="1768"/>
      <c r="W48" s="1768"/>
      <c r="X48" s="1768"/>
      <c r="Y48" s="1768"/>
      <c r="Z48" s="1768"/>
      <c r="AA48" s="1768"/>
    </row>
    <row r="49" spans="2:27" s="1142" customFormat="1" ht="27" customHeight="1">
      <c r="B49" s="2923" t="s">
        <v>1953</v>
      </c>
      <c r="C49" s="2934" t="s">
        <v>390</v>
      </c>
      <c r="D49" s="2925"/>
      <c r="E49" s="2926"/>
      <c r="F49" s="2926"/>
      <c r="G49" s="2926"/>
      <c r="H49" s="2926"/>
      <c r="I49" s="2926"/>
      <c r="J49" s="2926"/>
      <c r="K49" s="2927"/>
      <c r="L49" s="2928"/>
      <c r="M49" s="2928"/>
      <c r="N49" s="2928"/>
      <c r="O49" s="2928"/>
      <c r="P49" s="2928"/>
      <c r="Q49" s="2927"/>
      <c r="R49" s="2927"/>
      <c r="S49" s="2927"/>
      <c r="T49" s="2929"/>
      <c r="U49" s="1143"/>
      <c r="V49" s="1143"/>
      <c r="W49" s="1143"/>
      <c r="X49" s="1143"/>
      <c r="Y49" s="1143"/>
      <c r="Z49" s="1143"/>
      <c r="AA49" s="1143"/>
    </row>
    <row r="50" spans="2:27" s="1142" customFormat="1" ht="27" customHeight="1">
      <c r="B50" s="2930" t="s">
        <v>1954</v>
      </c>
      <c r="C50" s="2935" t="s">
        <v>394</v>
      </c>
      <c r="D50" s="2931"/>
      <c r="E50" s="2533"/>
      <c r="F50" s="2533"/>
      <c r="G50" s="2533"/>
      <c r="H50" s="2533"/>
      <c r="I50" s="2533"/>
      <c r="J50" s="2533"/>
      <c r="K50" s="2534"/>
      <c r="L50" s="2535"/>
      <c r="M50" s="2535"/>
      <c r="N50" s="2535"/>
      <c r="O50" s="2535"/>
      <c r="P50" s="2535"/>
      <c r="Q50" s="2534"/>
      <c r="R50" s="2534"/>
      <c r="S50" s="2534"/>
      <c r="T50" s="2536"/>
      <c r="U50" s="1143"/>
      <c r="V50" s="1143"/>
      <c r="W50" s="1143"/>
      <c r="X50" s="1143"/>
      <c r="Y50" s="1143"/>
      <c r="Z50" s="1143"/>
      <c r="AA50" s="1143"/>
    </row>
    <row r="51" spans="2:27" s="1142" customFormat="1" ht="40.9" customHeight="1">
      <c r="B51" s="2895" t="s">
        <v>1955</v>
      </c>
      <c r="C51" s="2912" t="s">
        <v>396</v>
      </c>
      <c r="D51" s="2897"/>
      <c r="E51" s="2898"/>
      <c r="F51" s="2898"/>
      <c r="G51" s="2898"/>
      <c r="H51" s="2898"/>
      <c r="I51" s="2898"/>
      <c r="J51" s="2898"/>
      <c r="K51" s="2899"/>
      <c r="L51" s="2900"/>
      <c r="M51" s="2900"/>
      <c r="N51" s="2900"/>
      <c r="O51" s="2900"/>
      <c r="P51" s="2900"/>
      <c r="Q51" s="2899"/>
      <c r="R51" s="2899"/>
      <c r="S51" s="2899"/>
      <c r="T51" s="2901"/>
      <c r="U51" s="1143"/>
      <c r="V51" s="1143"/>
      <c r="W51" s="1143"/>
      <c r="X51" s="1143"/>
      <c r="Y51" s="1143"/>
      <c r="Z51" s="1143"/>
      <c r="AA51" s="1143"/>
    </row>
    <row r="52" spans="2:27" s="1142" customFormat="1" ht="57.6" customHeight="1">
      <c r="B52" s="2895" t="s">
        <v>1956</v>
      </c>
      <c r="C52" s="2912" t="s">
        <v>406</v>
      </c>
      <c r="D52" s="2897"/>
      <c r="E52" s="2898"/>
      <c r="F52" s="2898"/>
      <c r="G52" s="2898"/>
      <c r="H52" s="2898"/>
      <c r="I52" s="2898"/>
      <c r="J52" s="2898"/>
      <c r="K52" s="2899"/>
      <c r="L52" s="2900"/>
      <c r="M52" s="2900"/>
      <c r="N52" s="2900"/>
      <c r="O52" s="2900"/>
      <c r="P52" s="2900"/>
      <c r="Q52" s="2899"/>
      <c r="R52" s="2899"/>
      <c r="S52" s="2899"/>
      <c r="T52" s="2901"/>
      <c r="U52" s="1143"/>
      <c r="V52" s="1143"/>
      <c r="W52" s="1143"/>
      <c r="X52" s="1143"/>
      <c r="Y52" s="1143"/>
      <c r="Z52" s="1143"/>
      <c r="AA52" s="1143"/>
    </row>
    <row r="53" spans="2:27" s="1769" customFormat="1" ht="67.900000000000006" customHeight="1">
      <c r="B53" s="2902" t="s">
        <v>1957</v>
      </c>
      <c r="C53" s="2912" t="s">
        <v>769</v>
      </c>
      <c r="D53" s="2904"/>
      <c r="E53" s="2905"/>
      <c r="F53" s="2905"/>
      <c r="G53" s="2905"/>
      <c r="H53" s="2905"/>
      <c r="I53" s="2905"/>
      <c r="J53" s="2905"/>
      <c r="K53" s="2906"/>
      <c r="L53" s="2907"/>
      <c r="M53" s="2907"/>
      <c r="N53" s="2907"/>
      <c r="O53" s="2907"/>
      <c r="P53" s="2907"/>
      <c r="Q53" s="2906"/>
      <c r="R53" s="2906"/>
      <c r="S53" s="2906"/>
      <c r="T53" s="2908"/>
      <c r="U53" s="1768"/>
      <c r="V53" s="1768"/>
      <c r="W53" s="1768"/>
      <c r="X53" s="1768"/>
      <c r="Y53" s="1768"/>
      <c r="Z53" s="1768"/>
      <c r="AA53" s="1768"/>
    </row>
    <row r="54" spans="2:27" s="1769" customFormat="1" ht="51">
      <c r="B54" s="2902" t="s">
        <v>2528</v>
      </c>
      <c r="C54" s="2912" t="s">
        <v>775</v>
      </c>
      <c r="D54" s="2904"/>
      <c r="E54" s="2905"/>
      <c r="F54" s="2905"/>
      <c r="G54" s="2905"/>
      <c r="H54" s="2905"/>
      <c r="I54" s="2905"/>
      <c r="J54" s="2905"/>
      <c r="K54" s="2906"/>
      <c r="L54" s="2907"/>
      <c r="M54" s="2907"/>
      <c r="N54" s="2907"/>
      <c r="O54" s="2907"/>
      <c r="P54" s="2907"/>
      <c r="Q54" s="2906"/>
      <c r="R54" s="2906"/>
      <c r="S54" s="2906"/>
      <c r="T54" s="2908"/>
      <c r="U54" s="1768"/>
      <c r="V54" s="1768"/>
      <c r="W54" s="1768"/>
      <c r="X54" s="1768"/>
      <c r="Y54" s="1768"/>
      <c r="Z54" s="1768"/>
      <c r="AA54" s="1768"/>
    </row>
    <row r="55" spans="2:27" s="1769" customFormat="1" ht="37.9" customHeight="1">
      <c r="B55" s="2902" t="s">
        <v>2543</v>
      </c>
      <c r="C55" s="2912" t="s">
        <v>411</v>
      </c>
      <c r="D55" s="2904"/>
      <c r="E55" s="2905"/>
      <c r="F55" s="2905"/>
      <c r="G55" s="2905"/>
      <c r="H55" s="2905"/>
      <c r="I55" s="2905"/>
      <c r="J55" s="2905"/>
      <c r="K55" s="2906"/>
      <c r="L55" s="2907"/>
      <c r="M55" s="2907"/>
      <c r="N55" s="2907"/>
      <c r="O55" s="2907"/>
      <c r="P55" s="2907"/>
      <c r="Q55" s="2906"/>
      <c r="R55" s="2906"/>
      <c r="S55" s="2906"/>
      <c r="T55" s="2908"/>
      <c r="U55" s="1768"/>
      <c r="V55" s="1768"/>
      <c r="W55" s="1768"/>
      <c r="X55" s="1768"/>
      <c r="Y55" s="1768"/>
      <c r="Z55" s="1768"/>
      <c r="AA55" s="1768"/>
    </row>
    <row r="56" spans="2:27" s="1769" customFormat="1" ht="49.15" customHeight="1">
      <c r="B56" s="2902" t="s">
        <v>2544</v>
      </c>
      <c r="C56" s="2912" t="s">
        <v>412</v>
      </c>
      <c r="D56" s="2904"/>
      <c r="E56" s="2905"/>
      <c r="F56" s="2905"/>
      <c r="G56" s="2905"/>
      <c r="H56" s="2905"/>
      <c r="I56" s="2905"/>
      <c r="J56" s="2905"/>
      <c r="K56" s="2906"/>
      <c r="L56" s="2907"/>
      <c r="M56" s="2907"/>
      <c r="N56" s="2907"/>
      <c r="O56" s="2907"/>
      <c r="P56" s="2907"/>
      <c r="Q56" s="2906"/>
      <c r="R56" s="2906"/>
      <c r="S56" s="2906"/>
      <c r="T56" s="2908"/>
      <c r="U56" s="1768"/>
      <c r="V56" s="1768"/>
      <c r="W56" s="1768"/>
      <c r="X56" s="1768"/>
      <c r="Y56" s="1768"/>
      <c r="Z56" s="1768"/>
      <c r="AA56" s="1768"/>
    </row>
    <row r="57" spans="2:27" s="1769" customFormat="1" ht="51">
      <c r="B57" s="2902" t="s">
        <v>2531</v>
      </c>
      <c r="C57" s="2912" t="s">
        <v>413</v>
      </c>
      <c r="D57" s="2904"/>
      <c r="E57" s="2905"/>
      <c r="F57" s="2905"/>
      <c r="G57" s="2905"/>
      <c r="H57" s="2905"/>
      <c r="I57" s="2905"/>
      <c r="J57" s="2905"/>
      <c r="K57" s="2906"/>
      <c r="L57" s="2907"/>
      <c r="M57" s="2907"/>
      <c r="N57" s="2907"/>
      <c r="O57" s="2907"/>
      <c r="P57" s="2907"/>
      <c r="Q57" s="2906"/>
      <c r="R57" s="2906"/>
      <c r="S57" s="2906"/>
      <c r="T57" s="2908"/>
      <c r="U57" s="1768"/>
      <c r="V57" s="1768"/>
      <c r="W57" s="1768"/>
      <c r="X57" s="1768"/>
      <c r="Y57" s="1768"/>
      <c r="Z57" s="1768"/>
      <c r="AA57" s="1768"/>
    </row>
    <row r="58" spans="2:27" s="1769" customFormat="1" ht="38.25">
      <c r="B58" s="2902" t="s">
        <v>2532</v>
      </c>
      <c r="C58" s="2912" t="s">
        <v>414</v>
      </c>
      <c r="D58" s="2904"/>
      <c r="E58" s="2905"/>
      <c r="F58" s="2905"/>
      <c r="G58" s="2905"/>
      <c r="H58" s="2905"/>
      <c r="I58" s="2905"/>
      <c r="J58" s="2905"/>
      <c r="K58" s="2906"/>
      <c r="L58" s="2907"/>
      <c r="M58" s="2907"/>
      <c r="N58" s="2907"/>
      <c r="O58" s="2907"/>
      <c r="P58" s="2907"/>
      <c r="Q58" s="2906"/>
      <c r="R58" s="2906"/>
      <c r="S58" s="2906"/>
      <c r="T58" s="2908"/>
      <c r="U58" s="1768"/>
      <c r="V58" s="1768"/>
      <c r="W58" s="1768"/>
      <c r="X58" s="1768"/>
      <c r="Y58" s="1768"/>
      <c r="Z58" s="1768"/>
      <c r="AA58" s="1768"/>
    </row>
    <row r="59" spans="2:27" s="1769" customFormat="1" ht="51">
      <c r="B59" s="2902" t="s">
        <v>2533</v>
      </c>
      <c r="C59" s="2912" t="s">
        <v>782</v>
      </c>
      <c r="D59" s="2904"/>
      <c r="E59" s="2905"/>
      <c r="F59" s="2905"/>
      <c r="G59" s="2905"/>
      <c r="H59" s="2905"/>
      <c r="I59" s="2905"/>
      <c r="J59" s="2905"/>
      <c r="K59" s="2906"/>
      <c r="L59" s="2907"/>
      <c r="M59" s="2907"/>
      <c r="N59" s="2907"/>
      <c r="O59" s="2907"/>
      <c r="P59" s="2907"/>
      <c r="Q59" s="2906"/>
      <c r="R59" s="2906"/>
      <c r="S59" s="2906"/>
      <c r="T59" s="2908"/>
      <c r="U59" s="1768"/>
      <c r="V59" s="1768"/>
      <c r="W59" s="1768"/>
      <c r="X59" s="1768"/>
      <c r="Y59" s="1768"/>
      <c r="Z59" s="1768"/>
      <c r="AA59" s="1768"/>
    </row>
    <row r="60" spans="2:27" s="1769" customFormat="1" ht="38.25">
      <c r="B60" s="2902" t="s">
        <v>2534</v>
      </c>
      <c r="C60" s="2912" t="s">
        <v>53</v>
      </c>
      <c r="D60" s="2904"/>
      <c r="E60" s="2905"/>
      <c r="F60" s="2905"/>
      <c r="G60" s="2905"/>
      <c r="H60" s="2905"/>
      <c r="I60" s="2905"/>
      <c r="J60" s="2905"/>
      <c r="K60" s="2906"/>
      <c r="L60" s="2907"/>
      <c r="M60" s="2907"/>
      <c r="N60" s="2907"/>
      <c r="O60" s="2907"/>
      <c r="P60" s="2907"/>
      <c r="Q60" s="2906"/>
      <c r="R60" s="2906"/>
      <c r="S60" s="2906"/>
      <c r="T60" s="2908"/>
      <c r="U60" s="1768"/>
      <c r="V60" s="1768"/>
      <c r="W60" s="1768"/>
      <c r="X60" s="1768"/>
      <c r="Y60" s="1768"/>
      <c r="Z60" s="1768"/>
      <c r="AA60" s="1768"/>
    </row>
    <row r="61" spans="2:27" s="1769" customFormat="1" ht="63.75">
      <c r="B61" s="2936" t="s">
        <v>2535</v>
      </c>
      <c r="C61" s="2934" t="s">
        <v>418</v>
      </c>
      <c r="D61" s="2937"/>
      <c r="E61" s="2938"/>
      <c r="F61" s="2938"/>
      <c r="G61" s="2938"/>
      <c r="H61" s="2938"/>
      <c r="I61" s="2938"/>
      <c r="J61" s="2938"/>
      <c r="K61" s="2939"/>
      <c r="L61" s="2940"/>
      <c r="M61" s="2940"/>
      <c r="N61" s="2940"/>
      <c r="O61" s="2940"/>
      <c r="P61" s="2940"/>
      <c r="Q61" s="2939"/>
      <c r="R61" s="2939"/>
      <c r="S61" s="2939"/>
      <c r="T61" s="2941"/>
      <c r="U61" s="1768"/>
      <c r="V61" s="1768"/>
      <c r="W61" s="1768"/>
      <c r="X61" s="1768"/>
      <c r="Y61" s="1768"/>
      <c r="Z61" s="1768"/>
      <c r="AA61" s="1768"/>
    </row>
    <row r="62" spans="2:27" s="1769" customFormat="1" ht="51">
      <c r="B62" s="2942" t="s">
        <v>2536</v>
      </c>
      <c r="C62" s="2935" t="s">
        <v>70</v>
      </c>
      <c r="D62" s="2943"/>
      <c r="E62" s="2944"/>
      <c r="F62" s="2944"/>
      <c r="G62" s="2944"/>
      <c r="H62" s="2944"/>
      <c r="I62" s="2944"/>
      <c r="J62" s="2944"/>
      <c r="K62" s="2945"/>
      <c r="L62" s="2946"/>
      <c r="M62" s="2946"/>
      <c r="N62" s="2946"/>
      <c r="O62" s="2946"/>
      <c r="P62" s="2946"/>
      <c r="Q62" s="2945"/>
      <c r="R62" s="2945"/>
      <c r="S62" s="2945"/>
      <c r="T62" s="2947"/>
      <c r="U62" s="1768"/>
      <c r="V62" s="1768"/>
      <c r="W62" s="1768"/>
      <c r="X62" s="1768"/>
      <c r="Y62" s="1768"/>
      <c r="Z62" s="1768"/>
      <c r="AA62" s="1768"/>
    </row>
    <row r="63" spans="2:27" s="1769" customFormat="1" ht="38.25">
      <c r="B63" s="2902" t="s">
        <v>2537</v>
      </c>
      <c r="C63" s="2912" t="s">
        <v>419</v>
      </c>
      <c r="D63" s="2904"/>
      <c r="E63" s="2905"/>
      <c r="F63" s="2905"/>
      <c r="G63" s="2905"/>
      <c r="H63" s="2905"/>
      <c r="I63" s="2905"/>
      <c r="J63" s="2905"/>
      <c r="K63" s="2906"/>
      <c r="L63" s="2907"/>
      <c r="M63" s="2907"/>
      <c r="N63" s="2907"/>
      <c r="O63" s="2907"/>
      <c r="P63" s="2907"/>
      <c r="Q63" s="2906"/>
      <c r="R63" s="2906"/>
      <c r="S63" s="2906"/>
      <c r="T63" s="2908"/>
      <c r="U63" s="1768"/>
      <c r="V63" s="1768"/>
      <c r="W63" s="1768"/>
      <c r="X63" s="1768"/>
      <c r="Y63" s="1768"/>
      <c r="Z63" s="1768"/>
      <c r="AA63" s="1768"/>
    </row>
    <row r="64" spans="2:27" s="1769" customFormat="1" ht="63.75">
      <c r="B64" s="2902" t="s">
        <v>2538</v>
      </c>
      <c r="C64" s="2912" t="s">
        <v>2539</v>
      </c>
      <c r="D64" s="2904"/>
      <c r="E64" s="2905"/>
      <c r="F64" s="2905"/>
      <c r="G64" s="2905"/>
      <c r="H64" s="2905"/>
      <c r="I64" s="2905"/>
      <c r="J64" s="2905"/>
      <c r="K64" s="2906"/>
      <c r="L64" s="2907"/>
      <c r="M64" s="2907"/>
      <c r="N64" s="2907"/>
      <c r="O64" s="2907"/>
      <c r="P64" s="2907"/>
      <c r="Q64" s="2906"/>
      <c r="R64" s="2906"/>
      <c r="S64" s="2906"/>
      <c r="T64" s="2908"/>
      <c r="U64" s="1768"/>
      <c r="V64" s="1768"/>
      <c r="W64" s="1768"/>
      <c r="X64" s="1768"/>
      <c r="Y64" s="1768"/>
      <c r="Z64" s="1768"/>
      <c r="AA64" s="1768"/>
    </row>
    <row r="65" spans="2:27" s="1769" customFormat="1" ht="25.5">
      <c r="B65" s="2902" t="s">
        <v>2540</v>
      </c>
      <c r="C65" s="2912" t="s">
        <v>2541</v>
      </c>
      <c r="D65" s="2904"/>
      <c r="E65" s="2905"/>
      <c r="F65" s="2905"/>
      <c r="G65" s="2905"/>
      <c r="H65" s="2905"/>
      <c r="I65" s="2905"/>
      <c r="J65" s="2905"/>
      <c r="K65" s="2906"/>
      <c r="L65" s="2907"/>
      <c r="M65" s="2907"/>
      <c r="N65" s="2907"/>
      <c r="O65" s="2907"/>
      <c r="P65" s="2907"/>
      <c r="Q65" s="2906"/>
      <c r="R65" s="2906"/>
      <c r="S65" s="2906"/>
      <c r="T65" s="2908"/>
      <c r="U65" s="1768"/>
      <c r="V65" s="1768"/>
      <c r="W65" s="1768"/>
      <c r="X65" s="1768"/>
      <c r="Y65" s="1768"/>
      <c r="Z65" s="1768"/>
      <c r="AA65" s="1768"/>
    </row>
    <row r="66" spans="2:27" s="1142" customFormat="1" ht="42" customHeight="1">
      <c r="B66" s="2918" t="s">
        <v>2545</v>
      </c>
      <c r="C66" s="2919">
        <v>99</v>
      </c>
      <c r="D66" s="2920">
        <f>SUM(D9:D65)</f>
        <v>0</v>
      </c>
      <c r="E66" s="2920">
        <f t="shared" ref="E66:T66" si="0">SUM(E9:E65)</f>
        <v>0</v>
      </c>
      <c r="F66" s="2920">
        <f t="shared" si="0"/>
        <v>0</v>
      </c>
      <c r="G66" s="2920">
        <f t="shared" si="0"/>
        <v>0</v>
      </c>
      <c r="H66" s="2920">
        <f t="shared" si="0"/>
        <v>0</v>
      </c>
      <c r="I66" s="2920">
        <f t="shared" si="0"/>
        <v>0</v>
      </c>
      <c r="J66" s="2920">
        <f t="shared" si="0"/>
        <v>0</v>
      </c>
      <c r="K66" s="2920">
        <f t="shared" si="0"/>
        <v>0</v>
      </c>
      <c r="L66" s="2920">
        <f t="shared" si="0"/>
        <v>0</v>
      </c>
      <c r="M66" s="2920">
        <f t="shared" si="0"/>
        <v>0</v>
      </c>
      <c r="N66" s="2920">
        <f t="shared" si="0"/>
        <v>0</v>
      </c>
      <c r="O66" s="2920">
        <f t="shared" si="0"/>
        <v>0</v>
      </c>
      <c r="P66" s="2920">
        <f t="shared" si="0"/>
        <v>0</v>
      </c>
      <c r="Q66" s="2921">
        <f t="shared" si="0"/>
        <v>0</v>
      </c>
      <c r="R66" s="2920">
        <f t="shared" si="0"/>
        <v>0</v>
      </c>
      <c r="S66" s="2920">
        <f t="shared" si="0"/>
        <v>0</v>
      </c>
      <c r="T66" s="2922">
        <f t="shared" si="0"/>
        <v>0</v>
      </c>
      <c r="U66" s="1143"/>
      <c r="V66" s="1143"/>
      <c r="W66" s="1143"/>
      <c r="X66" s="1143"/>
      <c r="Y66" s="1143"/>
      <c r="Z66" s="1143"/>
      <c r="AA66" s="1143"/>
    </row>
    <row r="67" spans="2:27" s="1142" customFormat="1" ht="26.45" customHeight="1">
      <c r="B67" s="1146"/>
      <c r="C67" s="1146"/>
      <c r="D67" s="1147"/>
      <c r="E67" s="1148"/>
      <c r="F67" s="1148"/>
      <c r="G67" s="1148"/>
      <c r="H67" s="1148"/>
      <c r="I67" s="1148"/>
      <c r="J67" s="1148"/>
      <c r="K67" s="1149"/>
      <c r="L67" s="1150"/>
      <c r="M67" s="1150"/>
      <c r="N67" s="1150"/>
      <c r="O67" s="1150"/>
      <c r="P67" s="1150"/>
      <c r="Q67" s="1149"/>
      <c r="R67" s="1149"/>
      <c r="S67" s="1149"/>
      <c r="T67" s="1148"/>
      <c r="U67" s="1143"/>
      <c r="V67" s="1143"/>
      <c r="W67" s="1143"/>
      <c r="X67" s="1143"/>
      <c r="Y67" s="1143"/>
      <c r="Z67" s="1143"/>
      <c r="AA67" s="1143"/>
    </row>
    <row r="68" spans="2:27" s="1142" customFormat="1" ht="37.5" customHeight="1">
      <c r="B68" s="4070" t="s">
        <v>1958</v>
      </c>
      <c r="C68" s="4070"/>
      <c r="D68" s="4070"/>
      <c r="E68" s="4070"/>
      <c r="F68" s="4070"/>
      <c r="G68" s="4070"/>
      <c r="H68" s="4070"/>
      <c r="I68" s="4070"/>
      <c r="J68" s="4070"/>
      <c r="K68" s="4070"/>
      <c r="L68" s="4070"/>
      <c r="M68" s="4070"/>
      <c r="N68" s="4070"/>
      <c r="O68" s="4070"/>
      <c r="P68" s="4070"/>
      <c r="Q68" s="4070"/>
      <c r="R68" s="4070"/>
      <c r="S68" s="4070"/>
      <c r="T68" s="4070"/>
      <c r="U68" s="1143"/>
      <c r="V68" s="1143"/>
      <c r="W68" s="1143"/>
      <c r="X68" s="1143"/>
      <c r="Y68" s="1143"/>
      <c r="Z68" s="1143"/>
      <c r="AA68" s="1143"/>
    </row>
    <row r="69" spans="2:27" s="1142" customFormat="1" ht="16.5" customHeight="1">
      <c r="B69" s="1151"/>
      <c r="C69" s="1151"/>
      <c r="D69" s="1155"/>
      <c r="E69" s="1155"/>
      <c r="F69" s="1155"/>
      <c r="G69" s="1155"/>
      <c r="H69" s="1155"/>
      <c r="I69" s="1155"/>
      <c r="J69" s="1155"/>
      <c r="K69" s="1155"/>
      <c r="L69" s="1155"/>
      <c r="M69" s="1155"/>
      <c r="N69" s="1155"/>
      <c r="O69" s="1152"/>
      <c r="P69" s="1152"/>
      <c r="Q69" s="1152"/>
      <c r="R69" s="1152"/>
      <c r="S69" s="1152"/>
      <c r="T69" s="1137"/>
      <c r="U69" s="1143"/>
      <c r="V69" s="1143"/>
      <c r="W69" s="1143"/>
      <c r="X69" s="1143"/>
      <c r="Y69" s="1143"/>
      <c r="Z69" s="1143"/>
      <c r="AA69" s="1143"/>
    </row>
    <row r="70" spans="2:27" ht="15.75">
      <c r="B70" s="4066" t="str">
        <f>+'ANEXA 1'!B94</f>
        <v>DIRECTOR  GENERAL,</v>
      </c>
      <c r="C70" s="4066"/>
      <c r="D70" s="4066"/>
      <c r="I70" s="4066" t="str">
        <f>+'ANEXA 1'!D94</f>
        <v>DIRECTOR  EXECUTIV  ECONOMIC,</v>
      </c>
      <c r="J70" s="4066"/>
      <c r="K70" s="4066"/>
      <c r="L70" s="4066"/>
      <c r="M70" s="4066"/>
      <c r="N70" s="4066"/>
      <c r="O70" s="4066"/>
      <c r="P70" s="4066"/>
      <c r="Q70" s="4066"/>
    </row>
    <row r="71" spans="2:27" ht="15.75">
      <c r="B71" s="1156"/>
      <c r="C71" s="1156"/>
      <c r="D71" s="1156"/>
      <c r="I71" s="1868"/>
      <c r="J71" s="1868"/>
      <c r="K71" s="1868"/>
      <c r="L71" s="1868"/>
      <c r="M71" s="1868"/>
      <c r="N71" s="1868"/>
      <c r="O71" s="1868"/>
      <c r="P71" s="1868"/>
      <c r="Q71" s="1868"/>
    </row>
    <row r="72" spans="2:27" ht="15.75">
      <c r="B72" s="4066" t="str">
        <f>+'ANEXA 1'!B96</f>
        <v>EC.ALBU DRINA</v>
      </c>
      <c r="C72" s="4066"/>
      <c r="D72" s="4066"/>
      <c r="I72" s="4066" t="str">
        <f>+'ANEXA 1'!D96</f>
        <v>EC.BIRCU FLORINA</v>
      </c>
      <c r="J72" s="4066"/>
      <c r="K72" s="4066"/>
      <c r="L72" s="4066"/>
      <c r="M72" s="4066"/>
      <c r="N72" s="4066"/>
      <c r="O72" s="4066"/>
      <c r="P72" s="4066"/>
      <c r="Q72" s="4066"/>
    </row>
    <row r="73" spans="2:27" ht="14.25">
      <c r="B73" s="4067">
        <f>+'ANEXA 1'!B97</f>
        <v>0</v>
      </c>
      <c r="C73" s="4067"/>
      <c r="D73" s="4067"/>
    </row>
    <row r="78" spans="2:27" ht="15">
      <c r="B78" s="4064">
        <f>+'ANEXA 1'!B99</f>
        <v>0</v>
      </c>
      <c r="C78" s="4065"/>
      <c r="D78" s="4065"/>
      <c r="I78" s="4063">
        <f>'ANEXA 1'!D99</f>
        <v>0</v>
      </c>
      <c r="J78" s="4063"/>
      <c r="K78" s="4063"/>
      <c r="L78" s="4063"/>
      <c r="M78" s="4063"/>
      <c r="N78" s="4063"/>
      <c r="O78" s="4063"/>
      <c r="P78" s="4063"/>
      <c r="Q78" s="4063"/>
      <c r="R78" s="1593"/>
      <c r="S78" s="1593"/>
    </row>
    <row r="79" spans="2:27" ht="15">
      <c r="B79" s="706"/>
      <c r="C79" s="706"/>
      <c r="D79" s="706"/>
    </row>
    <row r="80" spans="2:27" ht="15">
      <c r="B80" s="4065">
        <f>+'ANEXA 1'!B101</f>
        <v>0</v>
      </c>
      <c r="C80" s="4065"/>
      <c r="D80" s="4065"/>
      <c r="I80" s="4063">
        <f>'ANEXA 1'!D101</f>
        <v>0</v>
      </c>
      <c r="J80" s="4063"/>
      <c r="K80" s="4063"/>
      <c r="L80" s="4063"/>
      <c r="M80" s="4063"/>
      <c r="N80" s="4063"/>
      <c r="O80" s="4063"/>
      <c r="P80" s="4063"/>
      <c r="Q80" s="4063"/>
      <c r="R80" s="1593"/>
      <c r="S80" s="1593"/>
    </row>
  </sheetData>
  <sheetProtection algorithmName="SHA-512" hashValue="fNt6SrMbAVW1X/hY5yUlbg18JqwQw9PXPHfASauTorVgyjoz4/CDSn5yKZJz7tGgXLGev6vzqnT83piYY4PXrA==" saltValue="yleK3Aqd+fqUf9yAFf+myQ==" spinCount="100000" sheet="1" objects="1" scenarios="1"/>
  <mergeCells count="22">
    <mergeCell ref="B1:E1"/>
    <mergeCell ref="B3:Q3"/>
    <mergeCell ref="B6:B7"/>
    <mergeCell ref="C6:C7"/>
    <mergeCell ref="D6:D7"/>
    <mergeCell ref="E6:E7"/>
    <mergeCell ref="F6:F7"/>
    <mergeCell ref="G6:G7"/>
    <mergeCell ref="H6:H7"/>
    <mergeCell ref="I70:Q70"/>
    <mergeCell ref="I72:Q72"/>
    <mergeCell ref="B70:D70"/>
    <mergeCell ref="T6:T7"/>
    <mergeCell ref="B68:T68"/>
    <mergeCell ref="I6:I7"/>
    <mergeCell ref="K6:Q6"/>
    <mergeCell ref="I78:Q78"/>
    <mergeCell ref="I80:Q80"/>
    <mergeCell ref="B78:D78"/>
    <mergeCell ref="B80:D80"/>
    <mergeCell ref="B72:D72"/>
    <mergeCell ref="B73:D73"/>
  </mergeCells>
  <printOptions horizontalCentered="1"/>
  <pageMargins left="0" right="0" top="0" bottom="0.31496062992125984" header="0" footer="0.11811023622047245"/>
  <pageSetup paperSize="9" scale="70" firstPageNumber="0" orientation="landscape" r:id="rId1"/>
  <headerFooter alignWithMargins="0">
    <oddFooter>&amp;A&amp;RPagina &amp;P</oddFooter>
  </headerFooter>
  <rowBreaks count="4" manualBreakCount="4">
    <brk id="24" min="1" max="19" man="1"/>
    <brk id="38" min="1" max="19" man="1"/>
    <brk id="49" min="1" max="19" man="1"/>
    <brk id="61" min="1" max="19" man="1"/>
  </rowBreaks>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97</vt:i4>
      </vt:variant>
    </vt:vector>
  </HeadingPairs>
  <TitlesOfParts>
    <vt:vector size="165" baseType="lpstr">
      <vt:lpstr>ANEXA 1</vt:lpstr>
      <vt:lpstr>ANEXA 2</vt:lpstr>
      <vt:lpstr>ANEXA 3</vt:lpstr>
      <vt:lpstr>COD 04 (2)</vt:lpstr>
      <vt:lpstr>ANEXA 14a</vt:lpstr>
      <vt:lpstr>ANEXA 32</vt:lpstr>
      <vt:lpstr>Anexa 19</vt:lpstr>
      <vt:lpstr>Anexa 20a</vt:lpstr>
      <vt:lpstr>Anexa 20b</vt:lpstr>
      <vt:lpstr>ANEXA 40c</vt:lpstr>
      <vt:lpstr>ANEXA 5 </vt:lpstr>
      <vt:lpstr>ANEXA 5  (2)</vt:lpstr>
      <vt:lpstr>ANEXA 6</vt:lpstr>
      <vt:lpstr>ANEXA 6 (2)</vt:lpstr>
      <vt:lpstr>ANEXA 7 CAPITOL 6605</vt:lpstr>
      <vt:lpstr>ANEXA 7 CAPITOL 6805 </vt:lpstr>
      <vt:lpstr>ANEXA 34</vt:lpstr>
      <vt:lpstr>ANEXA 35 a1</vt:lpstr>
      <vt:lpstr>ANEXA 35 a2</vt:lpstr>
      <vt:lpstr>ANEXA 35 b1</vt:lpstr>
      <vt:lpstr>ANEXA 35 b2</vt:lpstr>
      <vt:lpstr>ANEXA 25</vt:lpstr>
      <vt:lpstr>ANEXA 26(1.1)</vt:lpstr>
      <vt:lpstr>ANEXA 26(1.2)</vt:lpstr>
      <vt:lpstr>ANEXA 26 (2.1)</vt:lpstr>
      <vt:lpstr>ANEXA 26 (2.2)</vt:lpstr>
      <vt:lpstr>26,3,1</vt:lpstr>
      <vt:lpstr>ANEXA 26(3.1)</vt:lpstr>
      <vt:lpstr>ANEXA 27</vt:lpstr>
      <vt:lpstr>ANEXA 7 CAPITOL 6608</vt:lpstr>
      <vt:lpstr>ANEXA 30</vt:lpstr>
      <vt:lpstr>ANEXA 30 (2)</vt:lpstr>
      <vt:lpstr>NOTA 1</vt:lpstr>
      <vt:lpstr>SOLDURI BILANT</vt:lpstr>
      <vt:lpstr>ANEXA 2 SOLDURI</vt:lpstr>
      <vt:lpstr>VENITURI </vt:lpstr>
      <vt:lpstr>VENITURI (2)</vt:lpstr>
      <vt:lpstr>PROVIZIOANE</vt:lpstr>
      <vt:lpstr>DISPONIBILITATI</vt:lpstr>
      <vt:lpstr>COD 04</vt:lpstr>
      <vt:lpstr>PLATI</vt:lpstr>
      <vt:lpstr>ANGAJ BUGETAR</vt:lpstr>
      <vt:lpstr>ANGAJAM LEGAL </vt:lpstr>
      <vt:lpstr>CONT EXECUTIE  </vt:lpstr>
      <vt:lpstr>CONT EXECUTIE   (2)</vt:lpstr>
      <vt:lpstr>CREDITE BUG</vt:lpstr>
      <vt:lpstr>CREDITE BUG (2)</vt:lpstr>
      <vt:lpstr>TAXA EVALUARE</vt:lpstr>
      <vt:lpstr>CONT 8082</vt:lpstr>
      <vt:lpstr>CONT 8082 (2)</vt:lpstr>
      <vt:lpstr>CONT IN AFARA BIL</vt:lpstr>
      <vt:lpstr>ACCIDENTE MUNCA 1 </vt:lpstr>
      <vt:lpstr>ACCIDENTE DE MUNCA 2</vt:lpstr>
      <vt:lpstr>PREJUDICII SI DAUNE</vt:lpstr>
      <vt:lpstr>PREJUDICII SI DAUNE 2</vt:lpstr>
      <vt:lpstr>CONT 473</vt:lpstr>
      <vt:lpstr>CONCEDII MEDICALE</vt:lpstr>
      <vt:lpstr>PRESTATII UE</vt:lpstr>
      <vt:lpstr>Bugetul de stat</vt:lpstr>
      <vt:lpstr>Programe</vt:lpstr>
      <vt:lpstr>F104 sint fin prog</vt:lpstr>
      <vt:lpstr>105 fisa prog cu scop CURATIV</vt:lpstr>
      <vt:lpstr>F105 SERVICII MEDICALE</vt:lpstr>
      <vt:lpstr>F105 CV-CVR</vt:lpstr>
      <vt:lpstr>F TRANSFERURI</vt:lpstr>
      <vt:lpstr>F MANAG SI ADM</vt:lpstr>
      <vt:lpstr>F CONCEDII SI INDEMNIZATII</vt:lpstr>
      <vt:lpstr>CONT EXECUTIE COVID 19</vt:lpstr>
      <vt:lpstr>'105 fisa prog cu scop CURATIV'!Print_Area</vt:lpstr>
      <vt:lpstr>'26,3,1'!Print_Area</vt:lpstr>
      <vt:lpstr>'ACCIDENTE DE MUNCA 2'!Print_Area</vt:lpstr>
      <vt:lpstr>'ACCIDENTE MUNCA 1 '!Print_Area</vt:lpstr>
      <vt:lpstr>'ANEXA 1'!Print_Area</vt:lpstr>
      <vt:lpstr>'ANEXA 14a'!Print_Area</vt:lpstr>
      <vt:lpstr>'Anexa 19'!Print_Area</vt:lpstr>
      <vt:lpstr>'ANEXA 2'!Print_Area</vt:lpstr>
      <vt:lpstr>'ANEXA 2 SOLDURI'!Print_Area</vt:lpstr>
      <vt:lpstr>'Anexa 20b'!Print_Area</vt:lpstr>
      <vt:lpstr>'ANEXA 25'!Print_Area</vt:lpstr>
      <vt:lpstr>'ANEXA 26 (2.1)'!Print_Area</vt:lpstr>
      <vt:lpstr>'ANEXA 26 (2.2)'!Print_Area</vt:lpstr>
      <vt:lpstr>'ANEXA 26(1.1)'!Print_Area</vt:lpstr>
      <vt:lpstr>'ANEXA 26(1.2)'!Print_Area</vt:lpstr>
      <vt:lpstr>'ANEXA 26(3.1)'!Print_Area</vt:lpstr>
      <vt:lpstr>'ANEXA 3'!Print_Area</vt:lpstr>
      <vt:lpstr>'ANEXA 30'!Print_Area</vt:lpstr>
      <vt:lpstr>'ANEXA 30 (2)'!Print_Area</vt:lpstr>
      <vt:lpstr>'ANEXA 32'!Print_Area</vt:lpstr>
      <vt:lpstr>'ANEXA 34'!Print_Area</vt:lpstr>
      <vt:lpstr>'ANEXA 35 a1'!Print_Area</vt:lpstr>
      <vt:lpstr>'ANEXA 35 a2'!Print_Area</vt:lpstr>
      <vt:lpstr>'ANEXA 35 b1'!Print_Area</vt:lpstr>
      <vt:lpstr>'ANEXA 35 b2'!Print_Area</vt:lpstr>
      <vt:lpstr>'ANEXA 40c'!Print_Area</vt:lpstr>
      <vt:lpstr>'ANEXA 5 '!Print_Area</vt:lpstr>
      <vt:lpstr>'ANEXA 5  (2)'!Print_Area</vt:lpstr>
      <vt:lpstr>'ANEXA 6'!Print_Area</vt:lpstr>
      <vt:lpstr>'ANEXA 6 (2)'!Print_Area</vt:lpstr>
      <vt:lpstr>'ANEXA 7 CAPITOL 6605'!Print_Area</vt:lpstr>
      <vt:lpstr>'ANEXA 7 CAPITOL 6608'!Print_Area</vt:lpstr>
      <vt:lpstr>'ANEXA 7 CAPITOL 6805 '!Print_Area</vt:lpstr>
      <vt:lpstr>'ANGAJ BUGETAR'!Print_Area</vt:lpstr>
      <vt:lpstr>'ANGAJAM LEGAL '!Print_Area</vt:lpstr>
      <vt:lpstr>'Bugetul de stat'!Print_Area</vt:lpstr>
      <vt:lpstr>'COD 04'!Print_Area</vt:lpstr>
      <vt:lpstr>'COD 04 (2)'!Print_Area</vt:lpstr>
      <vt:lpstr>'CONCEDII MEDICALE'!Print_Area</vt:lpstr>
      <vt:lpstr>'CONT 473'!Print_Area</vt:lpstr>
      <vt:lpstr>'CONT 8082'!Print_Area</vt:lpstr>
      <vt:lpstr>'CONT 8082 (2)'!Print_Area</vt:lpstr>
      <vt:lpstr>'CONT EXECUTIE  '!Print_Area</vt:lpstr>
      <vt:lpstr>'CONT EXECUTIE   (2)'!Print_Area</vt:lpstr>
      <vt:lpstr>'CONT EXECUTIE COVID 19'!Print_Area</vt:lpstr>
      <vt:lpstr>'CREDITE BUG'!Print_Area</vt:lpstr>
      <vt:lpstr>DISPONIBILITATI!Print_Area</vt:lpstr>
      <vt:lpstr>'F CONCEDII SI INDEMNIZATII'!Print_Area</vt:lpstr>
      <vt:lpstr>'F MANAG SI ADM'!Print_Area</vt:lpstr>
      <vt:lpstr>'F TRANSFERURI'!Print_Area</vt:lpstr>
      <vt:lpstr>'F104 sint fin prog'!Print_Area</vt:lpstr>
      <vt:lpstr>'F105 CV-CVR'!Print_Area</vt:lpstr>
      <vt:lpstr>'F105 SERVICII MEDICALE'!Print_Area</vt:lpstr>
      <vt:lpstr>'NOTA 1'!Print_Area</vt:lpstr>
      <vt:lpstr>PLATI!Print_Area</vt:lpstr>
      <vt:lpstr>'PREJUDICII SI DAUNE'!Print_Area</vt:lpstr>
      <vt:lpstr>'PREJUDICII SI DAUNE 2'!Print_Area</vt:lpstr>
      <vt:lpstr>'PRESTATII UE'!Print_Area</vt:lpstr>
      <vt:lpstr>Programe!Print_Area</vt:lpstr>
      <vt:lpstr>PROVIZIOANE!Print_Area</vt:lpstr>
      <vt:lpstr>'SOLDURI BILANT'!Print_Area</vt:lpstr>
      <vt:lpstr>'VENITURI '!Print_Area</vt:lpstr>
      <vt:lpstr>'VENITURI (2)'!Print_Area</vt:lpstr>
      <vt:lpstr>'ANEXA 1'!Print_Titles</vt:lpstr>
      <vt:lpstr>'ANEXA 14a'!Print_Titles</vt:lpstr>
      <vt:lpstr>'Anexa 19'!Print_Titles</vt:lpstr>
      <vt:lpstr>'ANEXA 2'!Print_Titles</vt:lpstr>
      <vt:lpstr>'ANEXA 2 SOLDURI'!Print_Titles</vt:lpstr>
      <vt:lpstr>'Anexa 20a'!Print_Titles</vt:lpstr>
      <vt:lpstr>'Anexa 20b'!Print_Titles</vt:lpstr>
      <vt:lpstr>'ANEXA 26 (2.1)'!Print_Titles</vt:lpstr>
      <vt:lpstr>'ANEXA 26 (2.2)'!Print_Titles</vt:lpstr>
      <vt:lpstr>'ANEXA 26(1.2)'!Print_Titles</vt:lpstr>
      <vt:lpstr>'ANEXA 27'!Print_Titles</vt:lpstr>
      <vt:lpstr>'ANEXA 3'!Print_Titles</vt:lpstr>
      <vt:lpstr>'ANEXA 30'!Print_Titles</vt:lpstr>
      <vt:lpstr>'ANEXA 30 (2)'!Print_Titles</vt:lpstr>
      <vt:lpstr>'ANEXA 34'!Print_Titles</vt:lpstr>
      <vt:lpstr>'ANEXA 40c'!Print_Titles</vt:lpstr>
      <vt:lpstr>'ANEXA 5 '!Print_Titles</vt:lpstr>
      <vt:lpstr>'ANEXA 5  (2)'!Print_Titles</vt:lpstr>
      <vt:lpstr>'ANEXA 6'!Print_Titles</vt:lpstr>
      <vt:lpstr>'ANEXA 6 (2)'!Print_Titles</vt:lpstr>
      <vt:lpstr>'ANEXA 7 CAPITOL 6605'!Print_Titles</vt:lpstr>
      <vt:lpstr>'ANEXA 7 CAPITOL 6805 '!Print_Titles</vt:lpstr>
      <vt:lpstr>'ANGAJ BUGETAR'!Print_Titles</vt:lpstr>
      <vt:lpstr>'ANGAJAM LEGAL '!Print_Titles</vt:lpstr>
      <vt:lpstr>'CONT 8082'!Print_Titles</vt:lpstr>
      <vt:lpstr>'CONT 8082 (2)'!Print_Titles</vt:lpstr>
      <vt:lpstr>'CONT EXECUTIE  '!Print_Titles</vt:lpstr>
      <vt:lpstr>'CONT EXECUTIE   (2)'!Print_Titles</vt:lpstr>
      <vt:lpstr>'CONT EXECUTIE COVID 19'!Print_Titles</vt:lpstr>
      <vt:lpstr>DISPONIBILITATI!Print_Titles</vt:lpstr>
      <vt:lpstr>PLATI!Print_Titles</vt:lpstr>
      <vt:lpstr>Programe!Print_Titles</vt:lpstr>
      <vt:lpstr>'SOLDURI BILANT'!Print_Titles</vt:lpstr>
      <vt:lpstr>'VENITURI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 BIRAU</dc:creator>
  <cp:lastModifiedBy>Florina BIRCU</cp:lastModifiedBy>
  <cp:lastPrinted>2023-07-28T07:38:50Z</cp:lastPrinted>
  <dcterms:created xsi:type="dcterms:W3CDTF">2018-01-18T10:16:16Z</dcterms:created>
  <dcterms:modified xsi:type="dcterms:W3CDTF">2023-07-28T11:16:24Z</dcterms:modified>
</cp:coreProperties>
</file>